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ModelsResearchMetrics\Models\"/>
    </mc:Choice>
  </mc:AlternateContent>
  <xr:revisionPtr revIDLastSave="0" documentId="13_ncr:1_{A6B59FCC-04E4-4C9B-93C5-9D37BEECF1D7}" xr6:coauthVersionLast="47" xr6:coauthVersionMax="47" xr10:uidLastSave="{00000000-0000-0000-0000-000000000000}"/>
  <bookViews>
    <workbookView xWindow="0" yWindow="0" windowWidth="14400" windowHeight="15600" xr2:uid="{F37AADAF-9095-4FBF-B04C-8FF06AD1A01B}"/>
  </bookViews>
  <sheets>
    <sheet name="Main" sheetId="1" r:id="rId1"/>
    <sheet name="Model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6" i="1"/>
  <c r="R74" i="2"/>
  <c r="R72" i="2"/>
  <c r="R70" i="2"/>
  <c r="R65" i="2"/>
  <c r="R63" i="2"/>
  <c r="R60" i="2"/>
  <c r="R57" i="2"/>
  <c r="R55" i="2"/>
  <c r="R45" i="2"/>
  <c r="R43" i="2"/>
  <c r="R42" i="2"/>
  <c r="R40" i="2"/>
  <c r="R38" i="2"/>
  <c r="R34" i="2"/>
  <c r="R32" i="2"/>
  <c r="R30" i="2"/>
  <c r="R24" i="2"/>
  <c r="L4" i="1"/>
  <c r="R9" i="2"/>
  <c r="R7" i="2"/>
  <c r="R21" i="2"/>
  <c r="Q14" i="2"/>
  <c r="Q11" i="2"/>
  <c r="Q6" i="2"/>
  <c r="Q7" i="2" s="1"/>
  <c r="Q4" i="2"/>
  <c r="Q3" i="2"/>
  <c r="AF9" i="2"/>
  <c r="AF21" i="2"/>
  <c r="AF7" i="2"/>
  <c r="AF5" i="2"/>
  <c r="E11" i="2"/>
  <c r="E6" i="2"/>
  <c r="E7" i="2" s="1"/>
  <c r="E4" i="2"/>
  <c r="E3" i="2"/>
  <c r="I11" i="2"/>
  <c r="I6" i="2"/>
  <c r="I7" i="2" s="1"/>
  <c r="I4" i="2"/>
  <c r="I3" i="2"/>
  <c r="M11" i="2"/>
  <c r="M6" i="2"/>
  <c r="M7" i="2" s="1"/>
  <c r="M4" i="2"/>
  <c r="M3" i="2"/>
  <c r="Z9" i="2"/>
  <c r="Z21" i="2"/>
  <c r="Z7" i="2"/>
  <c r="Z5" i="2"/>
  <c r="Z16" i="2" s="1"/>
  <c r="AA9" i="2"/>
  <c r="AA21" i="2"/>
  <c r="AA7" i="2"/>
  <c r="AA5" i="2"/>
  <c r="AB9" i="2"/>
  <c r="AB21" i="2"/>
  <c r="AB7" i="2"/>
  <c r="AB5" i="2"/>
  <c r="AC9" i="2"/>
  <c r="AC21" i="2"/>
  <c r="AC7" i="2"/>
  <c r="AC5" i="2"/>
  <c r="AD9" i="2"/>
  <c r="AD21" i="2"/>
  <c r="AD7" i="2"/>
  <c r="AD5" i="2"/>
  <c r="AD16" i="2" s="1"/>
  <c r="AE21" i="2"/>
  <c r="AE9" i="2"/>
  <c r="M9" i="2" s="1"/>
  <c r="AE7" i="2"/>
  <c r="AE5" i="2"/>
  <c r="AE16" i="2" s="1"/>
  <c r="B9" i="2"/>
  <c r="B7" i="2"/>
  <c r="B5" i="2"/>
  <c r="B16" i="2" s="1"/>
  <c r="F9" i="2"/>
  <c r="F21" i="2"/>
  <c r="F7" i="2"/>
  <c r="F5" i="2"/>
  <c r="C9" i="2"/>
  <c r="C7" i="2"/>
  <c r="C5" i="2"/>
  <c r="G9" i="2"/>
  <c r="G21" i="2"/>
  <c r="G7" i="2"/>
  <c r="G5" i="2"/>
  <c r="G16" i="2" s="1"/>
  <c r="D9" i="2"/>
  <c r="D7" i="2"/>
  <c r="D5" i="2"/>
  <c r="H9" i="2"/>
  <c r="H21" i="2"/>
  <c r="H7" i="2"/>
  <c r="H5" i="2"/>
  <c r="H16" i="2" s="1"/>
  <c r="J9" i="2"/>
  <c r="J21" i="2"/>
  <c r="J7" i="2"/>
  <c r="J5" i="2"/>
  <c r="J16" i="2" s="1"/>
  <c r="N9" i="2"/>
  <c r="N21" i="2"/>
  <c r="N7" i="2"/>
  <c r="N5" i="2"/>
  <c r="K9" i="2"/>
  <c r="K21" i="2"/>
  <c r="K7" i="2"/>
  <c r="K5" i="2"/>
  <c r="O9" i="2"/>
  <c r="O21" i="2"/>
  <c r="O7" i="2"/>
  <c r="O5" i="2"/>
  <c r="L9" i="2"/>
  <c r="L21" i="2"/>
  <c r="L7" i="2"/>
  <c r="L5" i="2"/>
  <c r="L16" i="2" s="1"/>
  <c r="P21" i="2"/>
  <c r="P9" i="2"/>
  <c r="P7" i="2"/>
  <c r="P5" i="2"/>
  <c r="P8" i="2" s="1"/>
  <c r="L18" i="1"/>
  <c r="L17" i="1"/>
  <c r="L16" i="1"/>
  <c r="L19" i="1" s="1"/>
  <c r="L5" i="1"/>
  <c r="L8" i="1" s="1"/>
  <c r="L10" i="1" s="1"/>
  <c r="W2" i="2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R5" i="2" l="1"/>
  <c r="M21" i="2"/>
  <c r="Q9" i="2"/>
  <c r="Q21" i="2"/>
  <c r="M5" i="2"/>
  <c r="M16" i="2" s="1"/>
  <c r="P16" i="2"/>
  <c r="I9" i="2"/>
  <c r="E5" i="2"/>
  <c r="E16" i="2" s="1"/>
  <c r="Q5" i="2"/>
  <c r="Q16" i="2" s="1"/>
  <c r="E9" i="2"/>
  <c r="E8" i="2"/>
  <c r="P10" i="2"/>
  <c r="P17" i="2"/>
  <c r="I5" i="2"/>
  <c r="I16" i="2" s="1"/>
  <c r="I21" i="2"/>
  <c r="AF8" i="2"/>
  <c r="AF10" i="2" s="1"/>
  <c r="AF16" i="2"/>
  <c r="Z8" i="2"/>
  <c r="Z17" i="2" s="1"/>
  <c r="AA8" i="2"/>
  <c r="AA17" i="2" s="1"/>
  <c r="AA16" i="2"/>
  <c r="AB8" i="2"/>
  <c r="AB17" i="2" s="1"/>
  <c r="AB16" i="2"/>
  <c r="AC8" i="2"/>
  <c r="AC17" i="2"/>
  <c r="AC10" i="2"/>
  <c r="AC16" i="2"/>
  <c r="AD8" i="2"/>
  <c r="AD17" i="2" s="1"/>
  <c r="AE8" i="2"/>
  <c r="B8" i="2"/>
  <c r="F8" i="2"/>
  <c r="F17" i="2" s="1"/>
  <c r="F16" i="2"/>
  <c r="C8" i="2"/>
  <c r="C17" i="2" s="1"/>
  <c r="C16" i="2"/>
  <c r="G8" i="2"/>
  <c r="G10" i="2" s="1"/>
  <c r="G19" i="2" s="1"/>
  <c r="D8" i="2"/>
  <c r="D17" i="2" s="1"/>
  <c r="D16" i="2"/>
  <c r="H8" i="2"/>
  <c r="J8" i="2"/>
  <c r="J17" i="2"/>
  <c r="J10" i="2"/>
  <c r="N8" i="2"/>
  <c r="N17" i="2" s="1"/>
  <c r="N16" i="2"/>
  <c r="K8" i="2"/>
  <c r="K10" i="2" s="1"/>
  <c r="K16" i="2"/>
  <c r="O8" i="2"/>
  <c r="O17" i="2" s="1"/>
  <c r="O16" i="2"/>
  <c r="O10" i="2"/>
  <c r="L8" i="2"/>
  <c r="R8" i="2" l="1"/>
  <c r="R16" i="2"/>
  <c r="M8" i="2"/>
  <c r="M17" i="2" s="1"/>
  <c r="G12" i="2"/>
  <c r="G13" i="2" s="1"/>
  <c r="G17" i="2"/>
  <c r="D10" i="2"/>
  <c r="D12" i="2" s="1"/>
  <c r="Q8" i="2"/>
  <c r="P12" i="2"/>
  <c r="P19" i="2"/>
  <c r="E10" i="2"/>
  <c r="E17" i="2"/>
  <c r="I8" i="2"/>
  <c r="AF17" i="2"/>
  <c r="AF19" i="2"/>
  <c r="AF12" i="2"/>
  <c r="Z10" i="2"/>
  <c r="Z19" i="2" s="1"/>
  <c r="AA10" i="2"/>
  <c r="AA19" i="2" s="1"/>
  <c r="AB10" i="2"/>
  <c r="AB19" i="2" s="1"/>
  <c r="AC19" i="2"/>
  <c r="AC12" i="2"/>
  <c r="AD10" i="2"/>
  <c r="AD12" i="2" s="1"/>
  <c r="AE17" i="2"/>
  <c r="AE10" i="2"/>
  <c r="B10" i="2"/>
  <c r="B17" i="2"/>
  <c r="F10" i="2"/>
  <c r="F12" i="2" s="1"/>
  <c r="C10" i="2"/>
  <c r="C19" i="2" s="1"/>
  <c r="H17" i="2"/>
  <c r="H10" i="2"/>
  <c r="J19" i="2"/>
  <c r="J12" i="2"/>
  <c r="N10" i="2"/>
  <c r="N12" i="2" s="1"/>
  <c r="N19" i="2"/>
  <c r="K17" i="2"/>
  <c r="K19" i="2"/>
  <c r="K12" i="2"/>
  <c r="O12" i="2"/>
  <c r="O19" i="2"/>
  <c r="L17" i="2"/>
  <c r="L10" i="2"/>
  <c r="R10" i="2" l="1"/>
  <c r="R17" i="2"/>
  <c r="M10" i="2"/>
  <c r="M19" i="2" s="1"/>
  <c r="G18" i="2"/>
  <c r="F19" i="2"/>
  <c r="D19" i="2"/>
  <c r="Q17" i="2"/>
  <c r="Q10" i="2"/>
  <c r="E19" i="2"/>
  <c r="E12" i="2"/>
  <c r="I17" i="2"/>
  <c r="I10" i="2"/>
  <c r="P18" i="2"/>
  <c r="P13" i="2"/>
  <c r="AA12" i="2"/>
  <c r="AA18" i="2" s="1"/>
  <c r="AF18" i="2"/>
  <c r="AF13" i="2"/>
  <c r="Z12" i="2"/>
  <c r="Z18" i="2" s="1"/>
  <c r="Z13" i="2"/>
  <c r="AB12" i="2"/>
  <c r="AB18" i="2" s="1"/>
  <c r="AC18" i="2"/>
  <c r="AC13" i="2"/>
  <c r="AD19" i="2"/>
  <c r="AD18" i="2"/>
  <c r="AD13" i="2"/>
  <c r="AE19" i="2"/>
  <c r="AE12" i="2"/>
  <c r="B19" i="2"/>
  <c r="B12" i="2"/>
  <c r="F18" i="2"/>
  <c r="F13" i="2"/>
  <c r="C12" i="2"/>
  <c r="C18" i="2" s="1"/>
  <c r="D18" i="2"/>
  <c r="D13" i="2"/>
  <c r="H19" i="2"/>
  <c r="H12" i="2"/>
  <c r="J18" i="2"/>
  <c r="J13" i="2"/>
  <c r="N13" i="2"/>
  <c r="N18" i="2"/>
  <c r="K18" i="2"/>
  <c r="K13" i="2"/>
  <c r="O13" i="2"/>
  <c r="O18" i="2"/>
  <c r="L19" i="2"/>
  <c r="L12" i="2"/>
  <c r="R12" i="2" l="1"/>
  <c r="R19" i="2"/>
  <c r="M12" i="2"/>
  <c r="M13" i="2" s="1"/>
  <c r="Q12" i="2"/>
  <c r="Q19" i="2"/>
  <c r="AA13" i="2"/>
  <c r="I12" i="2"/>
  <c r="I19" i="2"/>
  <c r="E13" i="2"/>
  <c r="E18" i="2"/>
  <c r="AB13" i="2"/>
  <c r="AE18" i="2"/>
  <c r="AE13" i="2"/>
  <c r="B18" i="2"/>
  <c r="B13" i="2"/>
  <c r="C13" i="2"/>
  <c r="H18" i="2"/>
  <c r="H13" i="2"/>
  <c r="L18" i="2"/>
  <c r="L13" i="2"/>
  <c r="R18" i="2" l="1"/>
  <c r="R13" i="2"/>
  <c r="M18" i="2"/>
  <c r="Q18" i="2"/>
  <c r="Q13" i="2"/>
  <c r="I13" i="2"/>
  <c r="I18" i="2"/>
</calcChain>
</file>

<file path=xl/sharedStrings.xml><?xml version="1.0" encoding="utf-8"?>
<sst xmlns="http://schemas.openxmlformats.org/spreadsheetml/2006/main" count="99" uniqueCount="79">
  <si>
    <t>Revenue</t>
  </si>
  <si>
    <t>COGS</t>
  </si>
  <si>
    <t>Gross profit</t>
  </si>
  <si>
    <t>SG&amp;A</t>
  </si>
  <si>
    <t>Operating expense</t>
  </si>
  <si>
    <t>Operating income</t>
  </si>
  <si>
    <t>Pretax</t>
  </si>
  <si>
    <t>Taxes</t>
  </si>
  <si>
    <t>Net income</t>
  </si>
  <si>
    <t>EPS</t>
  </si>
  <si>
    <t>Shares</t>
  </si>
  <si>
    <t>Gross margin</t>
  </si>
  <si>
    <t>Operating margin</t>
  </si>
  <si>
    <t>Net margin</t>
  </si>
  <si>
    <t>Tax rate</t>
  </si>
  <si>
    <t>Revenue y/y</t>
  </si>
  <si>
    <t>Q121</t>
  </si>
  <si>
    <t>Q222</t>
  </si>
  <si>
    <t>Q322</t>
  </si>
  <si>
    <t>Q221</t>
  </si>
  <si>
    <t>Q321</t>
  </si>
  <si>
    <t>Q421</t>
  </si>
  <si>
    <t>Q122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</si>
  <si>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</si>
  <si>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</si>
  <si>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</si>
  <si>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</si>
  <si>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</si>
  <si>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</si>
  <si>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</si>
  <si>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</si>
  <si>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</si>
  <si>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Price</t>
  </si>
  <si>
    <t>MC</t>
  </si>
  <si>
    <t>Cash</t>
  </si>
  <si>
    <t>Debt</t>
  </si>
  <si>
    <t>EV</t>
  </si>
  <si>
    <t>KO</t>
  </si>
  <si>
    <t>PEP</t>
  </si>
  <si>
    <t>Unit case volume growth</t>
  </si>
  <si>
    <t>Interest</t>
  </si>
  <si>
    <t>Q125</t>
  </si>
  <si>
    <t>Net cash</t>
  </si>
  <si>
    <t>AR</t>
  </si>
  <si>
    <t>Inventories</t>
  </si>
  <si>
    <t>Prepaid</t>
  </si>
  <si>
    <t>DT</t>
  </si>
  <si>
    <t>PP&amp;E</t>
  </si>
  <si>
    <t>Goodwill</t>
  </si>
  <si>
    <t>Other</t>
  </si>
  <si>
    <t>Assets</t>
  </si>
  <si>
    <t>AP</t>
  </si>
  <si>
    <t>ONCL</t>
  </si>
  <si>
    <t>Liabilties</t>
  </si>
  <si>
    <t>S/E</t>
  </si>
  <si>
    <t>L+S/E</t>
  </si>
  <si>
    <t>NI TTM</t>
  </si>
  <si>
    <t>ROTA</t>
  </si>
  <si>
    <t>Model NI</t>
  </si>
  <si>
    <t>Reported NI</t>
  </si>
  <si>
    <t>D&amp;A</t>
  </si>
  <si>
    <t>SBC</t>
  </si>
  <si>
    <t>Equity</t>
  </si>
  <si>
    <t>FX</t>
  </si>
  <si>
    <t>Significant</t>
  </si>
  <si>
    <t>Other charges</t>
  </si>
  <si>
    <t>CFFO</t>
  </si>
  <si>
    <t>Investments</t>
  </si>
  <si>
    <t>Acquisitions</t>
  </si>
  <si>
    <t>Disposal</t>
  </si>
  <si>
    <t>CapEx</t>
  </si>
  <si>
    <t>Collateral</t>
  </si>
  <si>
    <t>CFFI</t>
  </si>
  <si>
    <t>Issuances stock</t>
  </si>
  <si>
    <t>Buybacks</t>
  </si>
  <si>
    <t>Dividends</t>
  </si>
  <si>
    <t>CFFF</t>
  </si>
  <si>
    <t>CIC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</si>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</sst>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x"/>
    <numFmt numFmtId="167" formatCode="d/mm/yy;@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4" fontId="0" fillId="0" borderId="0" xfId="0" applyNumberFormat="1"/>
    <xf numFmtId="3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0</xdr:rowOff>
    </xdr:from>
    <xdr:to>
      <xdr:col>18</xdr:col>
      <xdr:colOff>19050</xdr:colOff>
      <xdr:row>77</xdr:row>
      <xdr:rowOff>47625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CAA7F8E-B4CD-128A-EFEB-2E11FF3F83D3}"/>
            </a:ext>
          </a:extLst>
        </xdr:cNvPr>
        <xdr:cNvCxnSpPr/>
      </xdr:nvCxnSpPr>
      <xdr:spPr>
        <a:xfrm>
          <a:off x="11496675" y="0"/>
          <a:ext cx="0" cy="1251585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38100</xdr:colOff>
      <xdr:row>0</xdr:row>
      <xdr:rowOff>0</xdr:rowOff>
    </xdr:from>
    <xdr:to>
      <xdr:col>32</xdr:col>
      <xdr:colOff>38100</xdr:colOff>
      <xdr:row>45</xdr:row>
      <xdr:rowOff>47625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CBFD748-987B-4902-A918-E2CB1A4CE663}"/>
            </a:ext>
          </a:extLst>
        </xdr:cNvPr>
        <xdr:cNvCxnSpPr/>
      </xdr:nvCxnSpPr>
      <xdr:spPr>
        <a:xfrm>
          <a:off x="20050125" y="0"/>
          <a:ext cx="0" cy="733425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322F3-21BD-4533-8CCD-3A109B019443}">
  <dimension ref="B2:M19"/>
  <sheetViews>
    <sheetView tabSelected="1" workbookViewId="0">
      <selection activeCell="H30" sqref="H30"/>
    </sheetView>
  </sheetViews>
  <sheetFormatPr defaultRowHeight="12.75" x14ac:dyDescent="0.2"/>
  <sheetData>
    <row r="2" spans="2:13" x14ac:dyDescent="0.2">
      <c r="K2" t="s">
        <v>37</v>
      </c>
    </row>
    <row r="3" spans="2:13" x14ac:dyDescent="0.2">
      <c r="B3" s="7" t="s">
        <v>39</v>
      </c>
      <c r="K3" t="s">
        <v>32</v>
      </c>
      <c r="L3">
        <v>72.13</v>
      </c>
    </row>
    <row r="4" spans="2:13" x14ac:dyDescent="0.2">
      <c r="K4" t="s">
        <v>10</v>
      </c>
      <c r="L4" s="1">
        <f>+Model!R14</f>
        <v>4313</v>
      </c>
      <c r="M4" s="8" t="s">
        <v>41</v>
      </c>
    </row>
    <row r="5" spans="2:13" x14ac:dyDescent="0.2">
      <c r="K5" t="s">
        <v>33</v>
      </c>
      <c r="L5" s="1">
        <f>+L3*L4</f>
        <v>311096.69</v>
      </c>
      <c r="M5" s="8"/>
    </row>
    <row r="6" spans="2:13" x14ac:dyDescent="0.2">
      <c r="K6" t="s">
        <v>34</v>
      </c>
      <c r="L6" s="1">
        <f>+Model!R24</f>
        <v>32156</v>
      </c>
      <c r="M6" s="8" t="s">
        <v>41</v>
      </c>
    </row>
    <row r="7" spans="2:13" x14ac:dyDescent="0.2">
      <c r="K7" t="s">
        <v>35</v>
      </c>
      <c r="L7" s="1">
        <f>+Model!R34</f>
        <v>49111</v>
      </c>
      <c r="M7" s="8" t="s">
        <v>41</v>
      </c>
    </row>
    <row r="8" spans="2:13" x14ac:dyDescent="0.2">
      <c r="K8" t="s">
        <v>36</v>
      </c>
      <c r="L8" s="1">
        <f>+L5-L6+L7</f>
        <v>328051.69</v>
      </c>
    </row>
    <row r="9" spans="2:13" x14ac:dyDescent="0.2">
      <c r="L9" s="1">
        <v>10962</v>
      </c>
    </row>
    <row r="10" spans="2:13" x14ac:dyDescent="0.2">
      <c r="L10" s="9">
        <f>+L8/L9</f>
        <v>29.926262543331511</v>
      </c>
    </row>
    <row r="13" spans="2:13" x14ac:dyDescent="0.2">
      <c r="K13" t="s">
        <v>38</v>
      </c>
    </row>
    <row r="14" spans="2:13" x14ac:dyDescent="0.2">
      <c r="K14" t="s">
        <v>32</v>
      </c>
      <c r="L14">
        <v>146.54</v>
      </c>
    </row>
    <row r="15" spans="2:13" x14ac:dyDescent="0.2">
      <c r="K15" t="s">
        <v>10</v>
      </c>
      <c r="L15" s="1">
        <v>1371.9890250000001</v>
      </c>
    </row>
    <row r="16" spans="2:13" x14ac:dyDescent="0.2">
      <c r="K16" t="s">
        <v>33</v>
      </c>
      <c r="L16" s="1">
        <f>+L14*L15</f>
        <v>201051.27172349999</v>
      </c>
    </row>
    <row r="17" spans="11:12" x14ac:dyDescent="0.2">
      <c r="K17" t="s">
        <v>34</v>
      </c>
      <c r="L17" s="1">
        <f>7308+743</f>
        <v>8051</v>
      </c>
    </row>
    <row r="18" spans="11:12" x14ac:dyDescent="0.2">
      <c r="K18" t="s">
        <v>35</v>
      </c>
      <c r="L18" s="1">
        <f>6524+38490</f>
        <v>45014</v>
      </c>
    </row>
    <row r="19" spans="11:12" x14ac:dyDescent="0.2">
      <c r="K19" t="s">
        <v>36</v>
      </c>
      <c r="L19" s="1">
        <f>+L16-L17+L18</f>
        <v>238014.27172349999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134AB-FCE9-44C3-9AEE-3724BF2ACD4F}">
  <dimension ref="A1:AP74"/>
  <sheetViews>
    <sheetView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P27" sqref="P27"/>
    </sheetView>
  </sheetViews>
  <sheetFormatPr defaultRowHeight="12.75" x14ac:dyDescent="0.2"/>
  <cols>
    <col min="1" max="1" width="16.7109375" style="1" bestFit="1" customWidth="1"/>
    <col min="2" max="16384" width="9.140625" style="1"/>
  </cols>
  <sheetData>
    <row r="1" spans="1:42" s="10" customFormat="1" x14ac:dyDescent="0.2">
      <c r="N1" s="10">
        <v>45380</v>
      </c>
      <c r="R1" s="10">
        <v>45744</v>
      </c>
    </row>
    <row r="2" spans="1:42" x14ac:dyDescent="0.2">
      <c r="A2" s="2"/>
      <c r="B2" s="2" t="s">
        <v>16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17</v>
      </c>
      <c r="H2" s="2" t="s">
        <v>18</v>
      </c>
      <c r="I2" s="2" t="s">
        <v>23</v>
      </c>
      <c r="J2" s="2" t="s">
        <v>24</v>
      </c>
      <c r="K2" s="2" t="s">
        <v>25</v>
      </c>
      <c r="L2" s="2" t="s">
        <v>26</v>
      </c>
      <c r="M2" s="2" t="s">
        <v>27</v>
      </c>
      <c r="N2" s="2" t="s">
        <v>28</v>
      </c>
      <c r="O2" s="2" t="s">
        <v>29</v>
      </c>
      <c r="P2" s="2" t="s">
        <v>30</v>
      </c>
      <c r="Q2" s="2" t="s">
        <v>31</v>
      </c>
      <c r="R2" s="2" t="s">
        <v>41</v>
      </c>
      <c r="S2" s="2"/>
      <c r="T2" s="2"/>
      <c r="V2">
        <v>2014</v>
      </c>
      <c r="W2">
        <f>+V2+1</f>
        <v>2015</v>
      </c>
      <c r="X2">
        <f t="shared" ref="X2:AP2" si="0">+W2+1</f>
        <v>2016</v>
      </c>
      <c r="Y2">
        <f t="shared" si="0"/>
        <v>2017</v>
      </c>
      <c r="Z2">
        <f t="shared" si="0"/>
        <v>2018</v>
      </c>
      <c r="AA2">
        <f t="shared" si="0"/>
        <v>2019</v>
      </c>
      <c r="AB2">
        <f t="shared" si="0"/>
        <v>2020</v>
      </c>
      <c r="AC2">
        <f t="shared" si="0"/>
        <v>2021</v>
      </c>
      <c r="AD2">
        <f t="shared" si="0"/>
        <v>2022</v>
      </c>
      <c r="AE2">
        <f t="shared" si="0"/>
        <v>2023</v>
      </c>
      <c r="AF2">
        <f t="shared" si="0"/>
        <v>2024</v>
      </c>
      <c r="AG2">
        <f t="shared" si="0"/>
        <v>2025</v>
      </c>
      <c r="AH2">
        <f t="shared" si="0"/>
        <v>2026</v>
      </c>
      <c r="AI2">
        <f t="shared" si="0"/>
        <v>2027</v>
      </c>
      <c r="AJ2">
        <f t="shared" si="0"/>
        <v>2028</v>
      </c>
      <c r="AK2">
        <f t="shared" si="0"/>
        <v>2029</v>
      </c>
      <c r="AL2">
        <f t="shared" si="0"/>
        <v>2030</v>
      </c>
      <c r="AM2">
        <f t="shared" si="0"/>
        <v>2031</v>
      </c>
      <c r="AN2">
        <f t="shared" si="0"/>
        <v>2032</v>
      </c>
      <c r="AO2">
        <f t="shared" si="0"/>
        <v>2033</v>
      </c>
      <c r="AP2">
        <f t="shared" si="0"/>
        <v>2034</v>
      </c>
    </row>
    <row r="3" spans="1:42" s="5" customFormat="1" x14ac:dyDescent="0.2">
      <c r="A3" s="5" t="s">
        <v>0</v>
      </c>
      <c r="B3" s="5">
        <v>9020</v>
      </c>
      <c r="C3" s="5">
        <v>10129</v>
      </c>
      <c r="D3" s="5">
        <v>10042</v>
      </c>
      <c r="E3" s="5">
        <f>+AC3-SUM(B3:D3)</f>
        <v>9464</v>
      </c>
      <c r="F3" s="5">
        <v>10491</v>
      </c>
      <c r="G3" s="5">
        <v>11325</v>
      </c>
      <c r="H3" s="5">
        <v>11063</v>
      </c>
      <c r="I3" s="5">
        <f>+AD3-SUM(F3:H3)</f>
        <v>10125</v>
      </c>
      <c r="J3" s="5">
        <v>10980</v>
      </c>
      <c r="K3" s="5">
        <v>11972</v>
      </c>
      <c r="L3" s="5">
        <v>11953</v>
      </c>
      <c r="M3" s="5">
        <f>+AE3-SUM(J3:L3)</f>
        <v>10849</v>
      </c>
      <c r="N3" s="5">
        <v>11300</v>
      </c>
      <c r="O3" s="5">
        <v>12363</v>
      </c>
      <c r="P3" s="5">
        <v>11854</v>
      </c>
      <c r="Q3" s="5">
        <f>+AF3-SUM(N3:P3)</f>
        <v>11544</v>
      </c>
      <c r="R3" s="5">
        <v>11129</v>
      </c>
      <c r="Z3" s="5">
        <v>34300</v>
      </c>
      <c r="AA3" s="5">
        <v>37266</v>
      </c>
      <c r="AB3" s="5">
        <v>33014</v>
      </c>
      <c r="AC3" s="5">
        <v>38655</v>
      </c>
      <c r="AD3" s="5">
        <v>43004</v>
      </c>
      <c r="AE3" s="5">
        <v>45754</v>
      </c>
      <c r="AF3" s="5">
        <v>47061</v>
      </c>
    </row>
    <row r="4" spans="1:42" x14ac:dyDescent="0.2">
      <c r="A4" s="1" t="s">
        <v>1</v>
      </c>
      <c r="B4" s="1">
        <v>3505</v>
      </c>
      <c r="C4" s="1">
        <v>3787</v>
      </c>
      <c r="D4" s="1">
        <v>3977</v>
      </c>
      <c r="E4" s="1">
        <f>+AC4-SUM(B4:D4)</f>
        <v>4088</v>
      </c>
      <c r="F4" s="1">
        <v>4091</v>
      </c>
      <c r="G4" s="1">
        <v>4830</v>
      </c>
      <c r="H4" s="1">
        <v>4566</v>
      </c>
      <c r="I4" s="1">
        <f>+AD4-SUM(F4:H4)</f>
        <v>4513</v>
      </c>
      <c r="J4" s="1">
        <v>4317</v>
      </c>
      <c r="K4" s="1">
        <v>4912</v>
      </c>
      <c r="L4" s="1">
        <v>4657</v>
      </c>
      <c r="M4" s="1">
        <f>+AE4-SUM(J4:L4)</f>
        <v>4634</v>
      </c>
      <c r="N4" s="1">
        <v>4235</v>
      </c>
      <c r="O4" s="1">
        <v>4812</v>
      </c>
      <c r="P4" s="1">
        <v>4664</v>
      </c>
      <c r="Q4" s="1">
        <f>+AF4-SUM(N4:P4)</f>
        <v>4613</v>
      </c>
      <c r="R4" s="1">
        <v>4163</v>
      </c>
      <c r="Z4" s="1">
        <v>13067</v>
      </c>
      <c r="AA4" s="1">
        <v>14619</v>
      </c>
      <c r="AB4" s="1">
        <v>13433</v>
      </c>
      <c r="AC4" s="1">
        <v>15357</v>
      </c>
      <c r="AD4" s="1">
        <v>18000</v>
      </c>
      <c r="AE4" s="1">
        <v>18520</v>
      </c>
      <c r="AF4" s="1">
        <v>18324</v>
      </c>
    </row>
    <row r="5" spans="1:42" x14ac:dyDescent="0.2">
      <c r="A5" s="1" t="s">
        <v>2</v>
      </c>
      <c r="B5" s="1">
        <f t="shared" ref="B5:Q5" si="1">+B3-B4</f>
        <v>5515</v>
      </c>
      <c r="C5" s="1">
        <f t="shared" si="1"/>
        <v>6342</v>
      </c>
      <c r="D5" s="1">
        <f t="shared" si="1"/>
        <v>6065</v>
      </c>
      <c r="E5" s="1">
        <f t="shared" si="1"/>
        <v>5376</v>
      </c>
      <c r="F5" s="1">
        <f t="shared" si="1"/>
        <v>6400</v>
      </c>
      <c r="G5" s="1">
        <f t="shared" si="1"/>
        <v>6495</v>
      </c>
      <c r="H5" s="1">
        <f t="shared" si="1"/>
        <v>6497</v>
      </c>
      <c r="I5" s="1">
        <f t="shared" si="1"/>
        <v>5612</v>
      </c>
      <c r="J5" s="1">
        <f t="shared" si="1"/>
        <v>6663</v>
      </c>
      <c r="K5" s="1">
        <f t="shared" si="1"/>
        <v>7060</v>
      </c>
      <c r="L5" s="1">
        <f t="shared" si="1"/>
        <v>7296</v>
      </c>
      <c r="M5" s="1">
        <f t="shared" si="1"/>
        <v>6215</v>
      </c>
      <c r="N5" s="1">
        <f t="shared" si="1"/>
        <v>7065</v>
      </c>
      <c r="O5" s="1">
        <f t="shared" si="1"/>
        <v>7551</v>
      </c>
      <c r="P5" s="1">
        <f t="shared" si="1"/>
        <v>7190</v>
      </c>
      <c r="Q5" s="1">
        <f t="shared" si="1"/>
        <v>6931</v>
      </c>
      <c r="R5" s="1">
        <f t="shared" ref="R5" si="2">+R3-R4</f>
        <v>6966</v>
      </c>
      <c r="Z5" s="1">
        <f t="shared" ref="Z5:AF5" si="3">+Z3-Z4</f>
        <v>21233</v>
      </c>
      <c r="AA5" s="1">
        <f t="shared" si="3"/>
        <v>22647</v>
      </c>
      <c r="AB5" s="1">
        <f t="shared" si="3"/>
        <v>19581</v>
      </c>
      <c r="AC5" s="1">
        <f t="shared" si="3"/>
        <v>23298</v>
      </c>
      <c r="AD5" s="1">
        <f t="shared" si="3"/>
        <v>25004</v>
      </c>
      <c r="AE5" s="1">
        <f t="shared" si="3"/>
        <v>27234</v>
      </c>
      <c r="AF5" s="1">
        <f t="shared" si="3"/>
        <v>28737</v>
      </c>
    </row>
    <row r="6" spans="1:42" x14ac:dyDescent="0.2">
      <c r="A6" s="1" t="s">
        <v>3</v>
      </c>
      <c r="B6" s="1">
        <v>2669</v>
      </c>
      <c r="C6" s="1">
        <v>3017</v>
      </c>
      <c r="D6" s="1">
        <v>3122</v>
      </c>
      <c r="E6" s="1">
        <f t="shared" ref="E6" si="4">+AC6-SUM(B6:D6)</f>
        <v>3336</v>
      </c>
      <c r="F6" s="1">
        <v>2967</v>
      </c>
      <c r="G6" s="1">
        <v>3203</v>
      </c>
      <c r="H6" s="1">
        <v>3279</v>
      </c>
      <c r="I6" s="1">
        <f t="shared" ref="I6" si="5">+AD6-SUM(F6:H6)</f>
        <v>3431</v>
      </c>
      <c r="J6" s="1">
        <v>3185</v>
      </c>
      <c r="K6" s="1">
        <v>3321</v>
      </c>
      <c r="L6" s="1">
        <v>3667</v>
      </c>
      <c r="M6" s="1">
        <f>+AE6-SUM(J6:L6)</f>
        <v>3799</v>
      </c>
      <c r="N6" s="1">
        <v>3351</v>
      </c>
      <c r="O6" s="1">
        <v>3549</v>
      </c>
      <c r="P6" s="1">
        <v>3636</v>
      </c>
      <c r="Q6" s="1">
        <f>+AF6-SUM(N6:P6)</f>
        <v>4046</v>
      </c>
      <c r="R6" s="1">
        <v>3234</v>
      </c>
      <c r="Z6" s="1">
        <v>11002</v>
      </c>
      <c r="AA6" s="1">
        <v>12103</v>
      </c>
      <c r="AB6" s="1">
        <v>9731</v>
      </c>
      <c r="AC6" s="1">
        <v>12144</v>
      </c>
      <c r="AD6" s="1">
        <v>12880</v>
      </c>
      <c r="AE6" s="1">
        <v>13972</v>
      </c>
      <c r="AF6" s="1">
        <v>14582</v>
      </c>
    </row>
    <row r="7" spans="1:42" x14ac:dyDescent="0.2">
      <c r="A7" s="1" t="s">
        <v>4</v>
      </c>
      <c r="B7" s="1">
        <f t="shared" ref="B7:Q7" si="6">+SUM(B6:B6)</f>
        <v>2669</v>
      </c>
      <c r="C7" s="1">
        <f t="shared" si="6"/>
        <v>3017</v>
      </c>
      <c r="D7" s="1">
        <f t="shared" si="6"/>
        <v>3122</v>
      </c>
      <c r="E7" s="1">
        <f t="shared" si="6"/>
        <v>3336</v>
      </c>
      <c r="F7" s="1">
        <f t="shared" si="6"/>
        <v>2967</v>
      </c>
      <c r="G7" s="1">
        <f t="shared" si="6"/>
        <v>3203</v>
      </c>
      <c r="H7" s="1">
        <f t="shared" si="6"/>
        <v>3279</v>
      </c>
      <c r="I7" s="1">
        <f t="shared" si="6"/>
        <v>3431</v>
      </c>
      <c r="J7" s="1">
        <f t="shared" si="6"/>
        <v>3185</v>
      </c>
      <c r="K7" s="1">
        <f t="shared" si="6"/>
        <v>3321</v>
      </c>
      <c r="L7" s="1">
        <f t="shared" si="6"/>
        <v>3667</v>
      </c>
      <c r="M7" s="1">
        <f t="shared" si="6"/>
        <v>3799</v>
      </c>
      <c r="N7" s="1">
        <f t="shared" si="6"/>
        <v>3351</v>
      </c>
      <c r="O7" s="1">
        <f t="shared" si="6"/>
        <v>3549</v>
      </c>
      <c r="P7" s="1">
        <f t="shared" si="6"/>
        <v>3636</v>
      </c>
      <c r="Q7" s="1">
        <f t="shared" si="6"/>
        <v>4046</v>
      </c>
      <c r="R7" s="1">
        <f t="shared" ref="R7" si="7">+SUM(R6:R6)</f>
        <v>3234</v>
      </c>
      <c r="Z7" s="1">
        <f t="shared" ref="Z7:AF7" si="8">+SUM(Z6:Z6)</f>
        <v>11002</v>
      </c>
      <c r="AA7" s="1">
        <f t="shared" si="8"/>
        <v>12103</v>
      </c>
      <c r="AB7" s="1">
        <f t="shared" si="8"/>
        <v>9731</v>
      </c>
      <c r="AC7" s="1">
        <f t="shared" si="8"/>
        <v>12144</v>
      </c>
      <c r="AD7" s="1">
        <f t="shared" si="8"/>
        <v>12880</v>
      </c>
      <c r="AE7" s="1">
        <f t="shared" si="8"/>
        <v>13972</v>
      </c>
      <c r="AF7" s="1">
        <f t="shared" si="8"/>
        <v>14582</v>
      </c>
    </row>
    <row r="8" spans="1:42" s="5" customFormat="1" x14ac:dyDescent="0.2">
      <c r="A8" s="5" t="s">
        <v>5</v>
      </c>
      <c r="B8" s="5">
        <f t="shared" ref="B8:Q8" si="9">+B5-B7</f>
        <v>2846</v>
      </c>
      <c r="C8" s="5">
        <f t="shared" si="9"/>
        <v>3325</v>
      </c>
      <c r="D8" s="5">
        <f t="shared" si="9"/>
        <v>2943</v>
      </c>
      <c r="E8" s="5">
        <f t="shared" si="9"/>
        <v>2040</v>
      </c>
      <c r="F8" s="5">
        <f t="shared" si="9"/>
        <v>3433</v>
      </c>
      <c r="G8" s="5">
        <f t="shared" si="9"/>
        <v>3292</v>
      </c>
      <c r="H8" s="5">
        <f t="shared" si="9"/>
        <v>3218</v>
      </c>
      <c r="I8" s="5">
        <f t="shared" si="9"/>
        <v>2181</v>
      </c>
      <c r="J8" s="5">
        <f t="shared" si="9"/>
        <v>3478</v>
      </c>
      <c r="K8" s="5">
        <f t="shared" si="9"/>
        <v>3739</v>
      </c>
      <c r="L8" s="5">
        <f t="shared" si="9"/>
        <v>3629</v>
      </c>
      <c r="M8" s="5">
        <f t="shared" si="9"/>
        <v>2416</v>
      </c>
      <c r="N8" s="5">
        <f t="shared" si="9"/>
        <v>3714</v>
      </c>
      <c r="O8" s="5">
        <f t="shared" si="9"/>
        <v>4002</v>
      </c>
      <c r="P8" s="5">
        <f t="shared" si="9"/>
        <v>3554</v>
      </c>
      <c r="Q8" s="5">
        <f t="shared" si="9"/>
        <v>2885</v>
      </c>
      <c r="R8" s="5">
        <f t="shared" ref="R8" si="10">+R5-R7</f>
        <v>3732</v>
      </c>
      <c r="Z8" s="5">
        <f t="shared" ref="Z8:AF8" si="11">+Z5-Z7</f>
        <v>10231</v>
      </c>
      <c r="AA8" s="5">
        <f t="shared" si="11"/>
        <v>10544</v>
      </c>
      <c r="AB8" s="5">
        <f t="shared" si="11"/>
        <v>9850</v>
      </c>
      <c r="AC8" s="5">
        <f t="shared" si="11"/>
        <v>11154</v>
      </c>
      <c r="AD8" s="5">
        <f t="shared" si="11"/>
        <v>12124</v>
      </c>
      <c r="AE8" s="5">
        <f t="shared" si="11"/>
        <v>13262</v>
      </c>
      <c r="AF8" s="5">
        <f t="shared" si="11"/>
        <v>14155</v>
      </c>
    </row>
    <row r="9" spans="1:42" x14ac:dyDescent="0.2">
      <c r="A9" s="1" t="s">
        <v>40</v>
      </c>
      <c r="B9" s="1">
        <f>66-442</f>
        <v>-376</v>
      </c>
      <c r="C9" s="1">
        <f>71-780</f>
        <v>-709</v>
      </c>
      <c r="D9" s="1">
        <f>68-210</f>
        <v>-142</v>
      </c>
      <c r="E9" s="1">
        <f t="shared" ref="E9:E11" si="12">+AC9-SUM(B9:D9)</f>
        <v>-94</v>
      </c>
      <c r="F9" s="1">
        <f>78-182</f>
        <v>-104</v>
      </c>
      <c r="G9" s="1">
        <f>100-198</f>
        <v>-98</v>
      </c>
      <c r="H9" s="1">
        <f>128-198</f>
        <v>-70</v>
      </c>
      <c r="I9" s="1">
        <f t="shared" ref="I9:I11" si="13">+AD9-SUM(F9:H9)</f>
        <v>-161</v>
      </c>
      <c r="J9" s="1">
        <f>168-372</f>
        <v>-204</v>
      </c>
      <c r="K9" s="1">
        <f>224-374</f>
        <v>-150</v>
      </c>
      <c r="L9" s="1">
        <f>248-368</f>
        <v>-120</v>
      </c>
      <c r="M9" s="1">
        <f>+AE9-SUM(J9:L9)</f>
        <v>-146</v>
      </c>
      <c r="N9" s="1">
        <f>246-382</f>
        <v>-136</v>
      </c>
      <c r="O9" s="1">
        <f>275-418</f>
        <v>-143</v>
      </c>
      <c r="P9" s="1">
        <f>263-425</f>
        <v>-162</v>
      </c>
      <c r="Q9" s="1">
        <f>+AF9-SUM(N9:P9)</f>
        <v>-227</v>
      </c>
      <c r="R9" s="1">
        <f>180-387</f>
        <v>-207</v>
      </c>
      <c r="Z9" s="1">
        <f>689-950</f>
        <v>-261</v>
      </c>
      <c r="AA9" s="1">
        <f>563-946</f>
        <v>-383</v>
      </c>
      <c r="AB9" s="1">
        <f>370-1437</f>
        <v>-1067</v>
      </c>
      <c r="AC9" s="1">
        <f>276-1597</f>
        <v>-1321</v>
      </c>
      <c r="AD9" s="1">
        <f>449-882</f>
        <v>-433</v>
      </c>
      <c r="AE9" s="1">
        <f>907-1527</f>
        <v>-620</v>
      </c>
      <c r="AF9" s="1">
        <f>988-1656</f>
        <v>-668</v>
      </c>
    </row>
    <row r="10" spans="1:42" x14ac:dyDescent="0.2">
      <c r="A10" s="1" t="s">
        <v>6</v>
      </c>
      <c r="B10" s="1">
        <f t="shared" ref="B10:Q10" si="14">+B8+B9</f>
        <v>2470</v>
      </c>
      <c r="C10" s="1">
        <f t="shared" si="14"/>
        <v>2616</v>
      </c>
      <c r="D10" s="1">
        <f t="shared" si="14"/>
        <v>2801</v>
      </c>
      <c r="E10" s="1">
        <f t="shared" si="14"/>
        <v>1946</v>
      </c>
      <c r="F10" s="1">
        <f t="shared" si="14"/>
        <v>3329</v>
      </c>
      <c r="G10" s="1">
        <f t="shared" si="14"/>
        <v>3194</v>
      </c>
      <c r="H10" s="1">
        <f t="shared" si="14"/>
        <v>3148</v>
      </c>
      <c r="I10" s="1">
        <f t="shared" si="14"/>
        <v>2020</v>
      </c>
      <c r="J10" s="1">
        <f t="shared" si="14"/>
        <v>3274</v>
      </c>
      <c r="K10" s="1">
        <f t="shared" si="14"/>
        <v>3589</v>
      </c>
      <c r="L10" s="1">
        <f t="shared" si="14"/>
        <v>3509</v>
      </c>
      <c r="M10" s="1">
        <f t="shared" si="14"/>
        <v>2270</v>
      </c>
      <c r="N10" s="1">
        <f t="shared" si="14"/>
        <v>3578</v>
      </c>
      <c r="O10" s="1">
        <f t="shared" si="14"/>
        <v>3859</v>
      </c>
      <c r="P10" s="1">
        <f t="shared" si="14"/>
        <v>3392</v>
      </c>
      <c r="Q10" s="1">
        <f t="shared" si="14"/>
        <v>2658</v>
      </c>
      <c r="R10" s="1">
        <f t="shared" ref="R10" si="15">+R8+R9</f>
        <v>3525</v>
      </c>
      <c r="Z10" s="1">
        <f t="shared" ref="Z10:AF10" si="16">+Z8+Z9</f>
        <v>9970</v>
      </c>
      <c r="AA10" s="1">
        <f t="shared" si="16"/>
        <v>10161</v>
      </c>
      <c r="AB10" s="1">
        <f t="shared" si="16"/>
        <v>8783</v>
      </c>
      <c r="AC10" s="1">
        <f t="shared" si="16"/>
        <v>9833</v>
      </c>
      <c r="AD10" s="1">
        <f t="shared" si="16"/>
        <v>11691</v>
      </c>
      <c r="AE10" s="1">
        <f t="shared" si="16"/>
        <v>12642</v>
      </c>
      <c r="AF10" s="1">
        <f t="shared" si="16"/>
        <v>13487</v>
      </c>
    </row>
    <row r="11" spans="1:42" x14ac:dyDescent="0.2">
      <c r="A11" s="1" t="s">
        <v>7</v>
      </c>
      <c r="B11" s="1">
        <v>508</v>
      </c>
      <c r="C11" s="1">
        <v>994</v>
      </c>
      <c r="D11" s="1">
        <v>609</v>
      </c>
      <c r="E11" s="1">
        <f t="shared" si="12"/>
        <v>510</v>
      </c>
      <c r="F11" s="1">
        <v>665</v>
      </c>
      <c r="G11" s="1">
        <v>384</v>
      </c>
      <c r="H11" s="1">
        <v>622</v>
      </c>
      <c r="I11" s="1">
        <f t="shared" si="13"/>
        <v>444</v>
      </c>
      <c r="J11" s="1">
        <v>940</v>
      </c>
      <c r="K11" s="1">
        <v>359</v>
      </c>
      <c r="L11" s="1">
        <v>454</v>
      </c>
      <c r="M11" s="1">
        <f>+AE11-SUM(J11:L11)</f>
        <v>496</v>
      </c>
      <c r="N11" s="1">
        <v>687</v>
      </c>
      <c r="O11" s="1">
        <v>627</v>
      </c>
      <c r="P11" s="1">
        <v>530</v>
      </c>
      <c r="Q11" s="1">
        <f>+AF11-SUM(N11:P11)</f>
        <v>593</v>
      </c>
      <c r="R11" s="1">
        <v>722</v>
      </c>
      <c r="Z11" s="1">
        <v>1749</v>
      </c>
      <c r="AA11" s="1">
        <v>1801</v>
      </c>
      <c r="AB11" s="1">
        <v>1981</v>
      </c>
      <c r="AC11" s="1">
        <v>2621</v>
      </c>
      <c r="AD11" s="1">
        <v>2115</v>
      </c>
      <c r="AE11" s="1">
        <v>2249</v>
      </c>
      <c r="AF11" s="1">
        <v>2437</v>
      </c>
    </row>
    <row r="12" spans="1:42" s="5" customFormat="1" x14ac:dyDescent="0.2">
      <c r="A12" s="5" t="s">
        <v>8</v>
      </c>
      <c r="B12" s="5">
        <f t="shared" ref="B12:Q12" si="17">+B10-B11</f>
        <v>1962</v>
      </c>
      <c r="C12" s="5">
        <f t="shared" si="17"/>
        <v>1622</v>
      </c>
      <c r="D12" s="5">
        <f t="shared" si="17"/>
        <v>2192</v>
      </c>
      <c r="E12" s="5">
        <f t="shared" si="17"/>
        <v>1436</v>
      </c>
      <c r="F12" s="5">
        <f t="shared" si="17"/>
        <v>2664</v>
      </c>
      <c r="G12" s="5">
        <f t="shared" si="17"/>
        <v>2810</v>
      </c>
      <c r="H12" s="5">
        <f t="shared" si="17"/>
        <v>2526</v>
      </c>
      <c r="I12" s="5">
        <f t="shared" si="17"/>
        <v>1576</v>
      </c>
      <c r="J12" s="5">
        <f t="shared" si="17"/>
        <v>2334</v>
      </c>
      <c r="K12" s="5">
        <f t="shared" si="17"/>
        <v>3230</v>
      </c>
      <c r="L12" s="5">
        <f t="shared" si="17"/>
        <v>3055</v>
      </c>
      <c r="M12" s="5">
        <f t="shared" si="17"/>
        <v>1774</v>
      </c>
      <c r="N12" s="5">
        <f t="shared" si="17"/>
        <v>2891</v>
      </c>
      <c r="O12" s="5">
        <f t="shared" si="17"/>
        <v>3232</v>
      </c>
      <c r="P12" s="5">
        <f t="shared" si="17"/>
        <v>2862</v>
      </c>
      <c r="Q12" s="5">
        <f t="shared" si="17"/>
        <v>2065</v>
      </c>
      <c r="R12" s="5">
        <f t="shared" ref="R12" si="18">+R10-R11</f>
        <v>2803</v>
      </c>
      <c r="Z12" s="5">
        <f t="shared" ref="Z12:AF12" si="19">+Z10-Z11</f>
        <v>8221</v>
      </c>
      <c r="AA12" s="5">
        <f t="shared" si="19"/>
        <v>8360</v>
      </c>
      <c r="AB12" s="5">
        <f t="shared" si="19"/>
        <v>6802</v>
      </c>
      <c r="AC12" s="5">
        <f t="shared" si="19"/>
        <v>7212</v>
      </c>
      <c r="AD12" s="5">
        <f t="shared" si="19"/>
        <v>9576</v>
      </c>
      <c r="AE12" s="5">
        <f t="shared" si="19"/>
        <v>10393</v>
      </c>
      <c r="AF12" s="5">
        <f t="shared" si="19"/>
        <v>11050</v>
      </c>
    </row>
    <row r="13" spans="1:42" s="4" customFormat="1" x14ac:dyDescent="0.2">
      <c r="A13" s="4" t="s">
        <v>9</v>
      </c>
      <c r="B13" s="4">
        <f t="shared" ref="B13:Q13" si="20">+B12/B14</f>
        <v>0.45311778290993071</v>
      </c>
      <c r="C13" s="4">
        <f t="shared" si="20"/>
        <v>0.37390502535730752</v>
      </c>
      <c r="D13" s="4">
        <f t="shared" si="20"/>
        <v>0.50460405156537758</v>
      </c>
      <c r="E13" s="4">
        <f t="shared" si="20"/>
        <v>0.3305709023941068</v>
      </c>
      <c r="F13" s="4">
        <f t="shared" si="20"/>
        <v>0.61142988294698186</v>
      </c>
      <c r="G13" s="4">
        <f t="shared" si="20"/>
        <v>0.64553181713760621</v>
      </c>
      <c r="H13" s="4">
        <f t="shared" si="20"/>
        <v>0.58122411412793373</v>
      </c>
      <c r="I13" s="4">
        <f t="shared" si="20"/>
        <v>0.3626323055683387</v>
      </c>
      <c r="J13" s="4">
        <f t="shared" si="20"/>
        <v>0.53716915995397008</v>
      </c>
      <c r="K13" s="4">
        <f t="shared" si="20"/>
        <v>0.74406818705367428</v>
      </c>
      <c r="L13" s="4">
        <f t="shared" si="20"/>
        <v>0.7040792809403088</v>
      </c>
      <c r="M13" s="4">
        <f t="shared" si="20"/>
        <v>0.40884996542982255</v>
      </c>
      <c r="N13" s="4">
        <f t="shared" si="20"/>
        <v>0.66890328551596479</v>
      </c>
      <c r="O13" s="4">
        <f t="shared" si="20"/>
        <v>0.74832137068765914</v>
      </c>
      <c r="P13" s="4">
        <f t="shared" si="20"/>
        <v>0.66204024982650933</v>
      </c>
      <c r="Q13" s="4">
        <f t="shared" si="20"/>
        <v>0.47845227062094531</v>
      </c>
      <c r="R13" s="4">
        <f t="shared" ref="R13" si="21">+R12/R14</f>
        <v>0.64989566427080914</v>
      </c>
      <c r="Z13" s="4">
        <f t="shared" ref="Z13:AF13" si="22">+Z12/Z14</f>
        <v>1.9123051872528496</v>
      </c>
      <c r="AA13" s="4">
        <f t="shared" si="22"/>
        <v>1.9378766805748726</v>
      </c>
      <c r="AB13" s="4">
        <f t="shared" si="22"/>
        <v>1.5734443673374972</v>
      </c>
      <c r="AC13" s="4">
        <f t="shared" si="22"/>
        <v>1.6617511520737327</v>
      </c>
      <c r="AD13" s="4">
        <f t="shared" si="22"/>
        <v>2.2013793103448274</v>
      </c>
      <c r="AE13" s="4">
        <f t="shared" si="22"/>
        <v>2.3952523622954596</v>
      </c>
      <c r="AF13" s="4">
        <f t="shared" si="22"/>
        <v>2.5578703703703702</v>
      </c>
    </row>
    <row r="14" spans="1:42" x14ac:dyDescent="0.2">
      <c r="A14" s="1" t="s">
        <v>10</v>
      </c>
      <c r="B14" s="1">
        <v>4330</v>
      </c>
      <c r="C14" s="1">
        <v>4338</v>
      </c>
      <c r="D14" s="1">
        <v>4344</v>
      </c>
      <c r="E14" s="1">
        <v>4344</v>
      </c>
      <c r="F14" s="1">
        <v>4357</v>
      </c>
      <c r="G14" s="1">
        <v>4353</v>
      </c>
      <c r="H14" s="1">
        <v>4346</v>
      </c>
      <c r="I14" s="1">
        <v>4346</v>
      </c>
      <c r="J14" s="1">
        <v>4345</v>
      </c>
      <c r="K14" s="1">
        <v>4341</v>
      </c>
      <c r="L14" s="1">
        <v>4339</v>
      </c>
      <c r="M14" s="1">
        <v>4339</v>
      </c>
      <c r="N14" s="1">
        <v>4322</v>
      </c>
      <c r="O14" s="1">
        <v>4319</v>
      </c>
      <c r="P14" s="1">
        <v>4323</v>
      </c>
      <c r="Q14" s="1">
        <f>+(AF14*4)-SUM(N14:P14)</f>
        <v>4316</v>
      </c>
      <c r="R14" s="1">
        <v>4313</v>
      </c>
      <c r="Z14" s="1">
        <v>4299</v>
      </c>
      <c r="AA14" s="1">
        <v>4314</v>
      </c>
      <c r="AB14" s="1">
        <v>4323</v>
      </c>
      <c r="AC14" s="1">
        <v>4340</v>
      </c>
      <c r="AD14" s="1">
        <v>4350</v>
      </c>
      <c r="AE14" s="1">
        <v>4339</v>
      </c>
      <c r="AF14" s="1">
        <v>4320</v>
      </c>
    </row>
    <row r="16" spans="1:42" s="3" customFormat="1" x14ac:dyDescent="0.2">
      <c r="A16" s="3" t="s">
        <v>11</v>
      </c>
      <c r="B16" s="3">
        <f t="shared" ref="B16:Q16" si="23">+B5/B3</f>
        <v>0.61141906873614194</v>
      </c>
      <c r="C16" s="3">
        <f t="shared" si="23"/>
        <v>0.62612301313061502</v>
      </c>
      <c r="D16" s="3">
        <f t="shared" si="23"/>
        <v>0.60396335391356304</v>
      </c>
      <c r="E16" s="3">
        <f t="shared" si="23"/>
        <v>0.56804733727810652</v>
      </c>
      <c r="F16" s="3">
        <f t="shared" si="23"/>
        <v>0.61004670670098182</v>
      </c>
      <c r="G16" s="3">
        <f t="shared" si="23"/>
        <v>0.57350993377483439</v>
      </c>
      <c r="H16" s="3">
        <f t="shared" si="23"/>
        <v>0.58727289162071772</v>
      </c>
      <c r="I16" s="3">
        <f t="shared" si="23"/>
        <v>0.55427160493827166</v>
      </c>
      <c r="J16" s="3">
        <f t="shared" si="23"/>
        <v>0.60683060109289622</v>
      </c>
      <c r="K16" s="3">
        <f t="shared" si="23"/>
        <v>0.58970932175075175</v>
      </c>
      <c r="L16" s="3">
        <f t="shared" si="23"/>
        <v>0.61039069689617664</v>
      </c>
      <c r="M16" s="3">
        <f t="shared" si="23"/>
        <v>0.57286385842013088</v>
      </c>
      <c r="N16" s="3">
        <f t="shared" si="23"/>
        <v>0.62522123893805315</v>
      </c>
      <c r="O16" s="3">
        <f t="shared" si="23"/>
        <v>0.61077408396020383</v>
      </c>
      <c r="P16" s="3">
        <f t="shared" si="23"/>
        <v>0.60654631348068166</v>
      </c>
      <c r="Q16" s="3">
        <f t="shared" si="23"/>
        <v>0.60039847539847535</v>
      </c>
      <c r="R16" s="3">
        <f t="shared" ref="R16" si="24">+R5/R3</f>
        <v>0.62593224907898282</v>
      </c>
      <c r="Z16" s="3">
        <f t="shared" ref="Z16:AF16" si="25">+Z5/Z3</f>
        <v>0.61903790087463562</v>
      </c>
      <c r="AA16" s="3">
        <f t="shared" si="25"/>
        <v>0.60771212365158589</v>
      </c>
      <c r="AB16" s="3">
        <f t="shared" si="25"/>
        <v>0.59311201308535777</v>
      </c>
      <c r="AC16" s="3">
        <f t="shared" si="25"/>
        <v>0.60271633682576642</v>
      </c>
      <c r="AD16" s="3">
        <f t="shared" si="25"/>
        <v>0.58143428518277374</v>
      </c>
      <c r="AE16" s="3">
        <f t="shared" si="25"/>
        <v>0.5952266468505486</v>
      </c>
      <c r="AF16" s="3">
        <f t="shared" si="25"/>
        <v>0.61063300822336963</v>
      </c>
    </row>
    <row r="17" spans="1:32" s="3" customFormat="1" x14ac:dyDescent="0.2">
      <c r="A17" s="3" t="s">
        <v>12</v>
      </c>
      <c r="B17" s="3">
        <f t="shared" ref="B17:Q17" si="26">+B8/B3</f>
        <v>0.31552106430155208</v>
      </c>
      <c r="C17" s="3">
        <f t="shared" si="26"/>
        <v>0.32826537664132688</v>
      </c>
      <c r="D17" s="3">
        <f t="shared" si="26"/>
        <v>0.29306910973909578</v>
      </c>
      <c r="E17" s="3">
        <f t="shared" si="26"/>
        <v>0.21555367709213863</v>
      </c>
      <c r="F17" s="3">
        <f t="shared" si="26"/>
        <v>0.32723286626632353</v>
      </c>
      <c r="G17" s="3">
        <f t="shared" si="26"/>
        <v>0.29068432671081679</v>
      </c>
      <c r="H17" s="3">
        <f t="shared" si="26"/>
        <v>0.2908795082708126</v>
      </c>
      <c r="I17" s="3">
        <f t="shared" si="26"/>
        <v>0.21540740740740741</v>
      </c>
      <c r="J17" s="3">
        <f t="shared" si="26"/>
        <v>0.3167577413479053</v>
      </c>
      <c r="K17" s="3">
        <f t="shared" si="26"/>
        <v>0.31231206147677915</v>
      </c>
      <c r="L17" s="3">
        <f t="shared" si="26"/>
        <v>0.30360578934158788</v>
      </c>
      <c r="M17" s="3">
        <f t="shared" si="26"/>
        <v>0.22269333579131717</v>
      </c>
      <c r="N17" s="3">
        <f t="shared" si="26"/>
        <v>0.32867256637168141</v>
      </c>
      <c r="O17" s="3">
        <f t="shared" si="26"/>
        <v>0.3237078379034215</v>
      </c>
      <c r="P17" s="3">
        <f t="shared" si="26"/>
        <v>0.29981440863843428</v>
      </c>
      <c r="Q17" s="3">
        <f t="shared" si="26"/>
        <v>0.24991337491337492</v>
      </c>
      <c r="R17" s="3">
        <f t="shared" ref="R17" si="27">+R8/R3</f>
        <v>0.3353401024350795</v>
      </c>
      <c r="Z17" s="3">
        <f t="shared" ref="Z17:AF17" si="28">+Z8/Z3</f>
        <v>0.29827988338192418</v>
      </c>
      <c r="AA17" s="3">
        <f t="shared" si="28"/>
        <v>0.28293887189395162</v>
      </c>
      <c r="AB17" s="3">
        <f t="shared" si="28"/>
        <v>0.29835827224813716</v>
      </c>
      <c r="AC17" s="3">
        <f t="shared" si="28"/>
        <v>0.2885525805199845</v>
      </c>
      <c r="AD17" s="3">
        <f t="shared" si="28"/>
        <v>0.2819272625802251</v>
      </c>
      <c r="AE17" s="3">
        <f t="shared" si="28"/>
        <v>0.28985443895615681</v>
      </c>
      <c r="AF17" s="3">
        <f t="shared" si="28"/>
        <v>0.30077983893244936</v>
      </c>
    </row>
    <row r="18" spans="1:32" s="3" customFormat="1" x14ac:dyDescent="0.2">
      <c r="A18" s="3" t="s">
        <v>13</v>
      </c>
      <c r="B18" s="3">
        <f t="shared" ref="B18:Q18" si="29">+B12/B3</f>
        <v>0.21751662971175167</v>
      </c>
      <c r="C18" s="3">
        <f t="shared" si="29"/>
        <v>0.16013426794352847</v>
      </c>
      <c r="D18" s="3">
        <f t="shared" si="29"/>
        <v>0.21828321051583349</v>
      </c>
      <c r="E18" s="3">
        <f t="shared" si="29"/>
        <v>0.15173288250211328</v>
      </c>
      <c r="F18" s="3">
        <f t="shared" si="29"/>
        <v>0.25393194166428368</v>
      </c>
      <c r="G18" s="3">
        <f t="shared" si="29"/>
        <v>0.24812362030905077</v>
      </c>
      <c r="H18" s="3">
        <f t="shared" si="29"/>
        <v>0.22832866311127181</v>
      </c>
      <c r="I18" s="3">
        <f t="shared" si="29"/>
        <v>0.15565432098765433</v>
      </c>
      <c r="J18" s="3">
        <f t="shared" si="29"/>
        <v>0.21256830601092896</v>
      </c>
      <c r="K18" s="3">
        <f t="shared" si="29"/>
        <v>0.26979619111259606</v>
      </c>
      <c r="L18" s="3">
        <f t="shared" si="29"/>
        <v>0.25558437212415291</v>
      </c>
      <c r="M18" s="3">
        <f t="shared" si="29"/>
        <v>0.16351737487326021</v>
      </c>
      <c r="N18" s="3">
        <f t="shared" si="29"/>
        <v>0.25584070796460179</v>
      </c>
      <c r="O18" s="3">
        <f t="shared" si="29"/>
        <v>0.26142522041575672</v>
      </c>
      <c r="P18" s="3">
        <f t="shared" si="29"/>
        <v>0.24143748945503626</v>
      </c>
      <c r="Q18" s="3">
        <f t="shared" si="29"/>
        <v>0.17888080388080388</v>
      </c>
      <c r="R18" s="3">
        <f t="shared" ref="R18" si="30">+R12/R3</f>
        <v>0.25186449815796569</v>
      </c>
      <c r="Z18" s="3">
        <f t="shared" ref="Z18:AF18" si="31">+Z12/Z3</f>
        <v>0.23967930029154519</v>
      </c>
      <c r="AA18" s="3">
        <f t="shared" si="31"/>
        <v>0.2243331723286642</v>
      </c>
      <c r="AB18" s="3">
        <f t="shared" si="31"/>
        <v>0.20603380384079481</v>
      </c>
      <c r="AC18" s="3">
        <f t="shared" si="31"/>
        <v>0.18657353511835467</v>
      </c>
      <c r="AD18" s="3">
        <f t="shared" si="31"/>
        <v>0.2226769602827644</v>
      </c>
      <c r="AE18" s="3">
        <f t="shared" si="31"/>
        <v>0.22714953883813438</v>
      </c>
      <c r="AF18" s="3">
        <f t="shared" si="31"/>
        <v>0.23480164042413038</v>
      </c>
    </row>
    <row r="19" spans="1:32" s="3" customFormat="1" x14ac:dyDescent="0.2">
      <c r="A19" s="3" t="s">
        <v>14</v>
      </c>
      <c r="B19" s="3">
        <f t="shared" ref="B19:P19" si="32">+B11/B10</f>
        <v>0.20566801619433198</v>
      </c>
      <c r="C19" s="3">
        <f t="shared" si="32"/>
        <v>0.37996941896024466</v>
      </c>
      <c r="D19" s="3">
        <f t="shared" si="32"/>
        <v>0.21742234916101391</v>
      </c>
      <c r="E19" s="3">
        <f t="shared" si="32"/>
        <v>0.26207605344295992</v>
      </c>
      <c r="F19" s="3">
        <f t="shared" si="32"/>
        <v>0.19975968759387203</v>
      </c>
      <c r="G19" s="3">
        <f t="shared" si="32"/>
        <v>0.12022542266750157</v>
      </c>
      <c r="H19" s="3">
        <f t="shared" si="32"/>
        <v>0.19758576874205844</v>
      </c>
      <c r="I19" s="3">
        <f t="shared" si="32"/>
        <v>0.2198019801980198</v>
      </c>
      <c r="J19" s="3">
        <f t="shared" si="32"/>
        <v>0.28711056811240071</v>
      </c>
      <c r="K19" s="3">
        <f t="shared" si="32"/>
        <v>0.10002786291446085</v>
      </c>
      <c r="L19" s="3">
        <f t="shared" si="32"/>
        <v>0.12938159019663723</v>
      </c>
      <c r="M19" s="3">
        <f t="shared" si="32"/>
        <v>0.2185022026431718</v>
      </c>
      <c r="N19" s="3">
        <f t="shared" si="32"/>
        <v>0.19200670765790945</v>
      </c>
      <c r="O19" s="3">
        <f t="shared" si="32"/>
        <v>0.16247732573205495</v>
      </c>
      <c r="P19" s="3">
        <f t="shared" si="32"/>
        <v>0.15625</v>
      </c>
      <c r="Q19" s="3">
        <f t="shared" ref="Q19:R19" si="33">+Q11/Q10</f>
        <v>0.22310007524454478</v>
      </c>
      <c r="R19" s="3">
        <f t="shared" si="33"/>
        <v>0.20482269503546099</v>
      </c>
      <c r="Z19" s="3">
        <f t="shared" ref="Z19:AE19" si="34">+Z11/Z10</f>
        <v>0.17542627883650952</v>
      </c>
      <c r="AA19" s="3">
        <f t="shared" si="34"/>
        <v>0.17724633402224191</v>
      </c>
      <c r="AB19" s="3">
        <f t="shared" si="34"/>
        <v>0.22554935671182966</v>
      </c>
      <c r="AC19" s="3">
        <f t="shared" si="34"/>
        <v>0.26655140852232279</v>
      </c>
      <c r="AD19" s="3">
        <f t="shared" si="34"/>
        <v>0.18090839107005388</v>
      </c>
      <c r="AE19" s="3">
        <f t="shared" si="34"/>
        <v>0.17789906660338553</v>
      </c>
      <c r="AF19" s="3">
        <f t="shared" ref="AF19" si="35">+AF11/AF10</f>
        <v>0.18069251872173203</v>
      </c>
    </row>
    <row r="20" spans="1:32" s="3" customFormat="1" x14ac:dyDescent="0.2"/>
    <row r="21" spans="1:32" s="6" customFormat="1" x14ac:dyDescent="0.2">
      <c r="A21" s="6" t="s">
        <v>15</v>
      </c>
      <c r="F21" s="6">
        <f t="shared" ref="F21:R21" si="36">+F3/B3-1</f>
        <v>0.16308203991130821</v>
      </c>
      <c r="G21" s="6">
        <f t="shared" si="36"/>
        <v>0.11807680916181251</v>
      </c>
      <c r="H21" s="6">
        <f t="shared" si="36"/>
        <v>0.10167297351125271</v>
      </c>
      <c r="I21" s="6">
        <f t="shared" si="36"/>
        <v>6.9843617920541057E-2</v>
      </c>
      <c r="J21" s="6">
        <f t="shared" si="36"/>
        <v>4.661138118387198E-2</v>
      </c>
      <c r="K21" s="6">
        <f t="shared" si="36"/>
        <v>5.713024282560708E-2</v>
      </c>
      <c r="L21" s="6">
        <f t="shared" si="36"/>
        <v>8.0448341317906458E-2</v>
      </c>
      <c r="M21" s="6">
        <f t="shared" si="36"/>
        <v>7.150617283950611E-2</v>
      </c>
      <c r="N21" s="6">
        <f t="shared" si="36"/>
        <v>2.9143897996356971E-2</v>
      </c>
      <c r="O21" s="6">
        <f t="shared" si="36"/>
        <v>3.2659538924156406E-2</v>
      </c>
      <c r="P21" s="6">
        <f t="shared" si="36"/>
        <v>-8.2824395549234708E-3</v>
      </c>
      <c r="Q21" s="6">
        <f t="shared" si="36"/>
        <v>6.4061203797584954E-2</v>
      </c>
      <c r="R21" s="6">
        <f t="shared" si="36"/>
        <v>-1.513274336283188E-2</v>
      </c>
      <c r="Z21" s="6" t="e">
        <f t="shared" ref="Z21:AF21" si="37">+Z3/Y3-1</f>
        <v>#DIV/0!</v>
      </c>
      <c r="AA21" s="6">
        <f t="shared" si="37"/>
        <v>8.647230320699717E-2</v>
      </c>
      <c r="AB21" s="6">
        <f t="shared" si="37"/>
        <v>-0.11409864219395693</v>
      </c>
      <c r="AC21" s="6">
        <f t="shared" si="37"/>
        <v>0.17086690494941537</v>
      </c>
      <c r="AD21" s="6">
        <f t="shared" si="37"/>
        <v>0.11250808433579107</v>
      </c>
      <c r="AE21" s="6">
        <f t="shared" si="37"/>
        <v>6.3947539763743011E-2</v>
      </c>
      <c r="AF21" s="6">
        <f t="shared" si="37"/>
        <v>2.8565808453905772E-2</v>
      </c>
    </row>
    <row r="23" spans="1:32" x14ac:dyDescent="0.2">
      <c r="A23" s="1" t="s">
        <v>42</v>
      </c>
    </row>
    <row r="24" spans="1:32" x14ac:dyDescent="0.2">
      <c r="A24" s="1" t="s">
        <v>34</v>
      </c>
      <c r="R24" s="1">
        <f>8417+3579+1791+18369</f>
        <v>32156</v>
      </c>
    </row>
    <row r="25" spans="1:32" x14ac:dyDescent="0.2">
      <c r="A25" s="1" t="s">
        <v>43</v>
      </c>
      <c r="R25" s="1">
        <v>4091</v>
      </c>
    </row>
    <row r="26" spans="1:32" x14ac:dyDescent="0.2">
      <c r="A26" s="1" t="s">
        <v>44</v>
      </c>
      <c r="R26" s="1">
        <v>5102</v>
      </c>
    </row>
    <row r="27" spans="1:32" x14ac:dyDescent="0.2">
      <c r="A27" s="1" t="s">
        <v>45</v>
      </c>
      <c r="R27" s="1">
        <v>3198</v>
      </c>
    </row>
    <row r="28" spans="1:32" x14ac:dyDescent="0.2">
      <c r="A28" s="1" t="s">
        <v>46</v>
      </c>
      <c r="R28" s="1">
        <v>1311</v>
      </c>
    </row>
    <row r="29" spans="1:32" x14ac:dyDescent="0.2">
      <c r="A29" s="1" t="s">
        <v>47</v>
      </c>
      <c r="R29" s="1">
        <v>10431</v>
      </c>
    </row>
    <row r="30" spans="1:32" x14ac:dyDescent="0.2">
      <c r="A30" s="1" t="s">
        <v>48</v>
      </c>
      <c r="R30" s="1">
        <f>13425+18333</f>
        <v>31758</v>
      </c>
    </row>
    <row r="31" spans="1:32" x14ac:dyDescent="0.2">
      <c r="A31" s="1" t="s">
        <v>49</v>
      </c>
      <c r="R31" s="1">
        <v>13669</v>
      </c>
    </row>
    <row r="32" spans="1:32" s="5" customFormat="1" x14ac:dyDescent="0.2">
      <c r="A32" s="5" t="s">
        <v>50</v>
      </c>
      <c r="R32" s="5">
        <f>+SUM(R24:R31)</f>
        <v>101716</v>
      </c>
    </row>
    <row r="33" spans="1:18" x14ac:dyDescent="0.2">
      <c r="A33" s="1" t="s">
        <v>51</v>
      </c>
      <c r="R33" s="1">
        <v>16499</v>
      </c>
    </row>
    <row r="34" spans="1:18" x14ac:dyDescent="0.2">
      <c r="A34" s="1" t="s">
        <v>35</v>
      </c>
      <c r="R34" s="1">
        <f>5418+163+43530</f>
        <v>49111</v>
      </c>
    </row>
    <row r="35" spans="1:18" x14ac:dyDescent="0.2">
      <c r="A35" s="1" t="s">
        <v>7</v>
      </c>
      <c r="R35" s="1">
        <v>1728</v>
      </c>
    </row>
    <row r="36" spans="1:18" x14ac:dyDescent="0.2">
      <c r="A36" s="1" t="s">
        <v>52</v>
      </c>
      <c r="R36" s="1">
        <v>4313</v>
      </c>
    </row>
    <row r="37" spans="1:18" x14ac:dyDescent="0.2">
      <c r="A37" s="1" t="s">
        <v>46</v>
      </c>
      <c r="R37" s="1">
        <v>2311</v>
      </c>
    </row>
    <row r="38" spans="1:18" s="5" customFormat="1" x14ac:dyDescent="0.2">
      <c r="A38" s="5" t="s">
        <v>53</v>
      </c>
      <c r="R38" s="5">
        <f>+SUM(R33:R37)</f>
        <v>73962</v>
      </c>
    </row>
    <row r="39" spans="1:18" x14ac:dyDescent="0.2">
      <c r="A39" s="1" t="s">
        <v>54</v>
      </c>
      <c r="R39" s="1">
        <v>27754</v>
      </c>
    </row>
    <row r="40" spans="1:18" x14ac:dyDescent="0.2">
      <c r="A40" s="1" t="s">
        <v>55</v>
      </c>
      <c r="R40" s="1">
        <f>+R39+R38</f>
        <v>101716</v>
      </c>
    </row>
    <row r="42" spans="1:18" x14ac:dyDescent="0.2">
      <c r="A42" s="1" t="s">
        <v>56</v>
      </c>
      <c r="R42" s="1">
        <f>+SUM(O12:R12)</f>
        <v>10962</v>
      </c>
    </row>
    <row r="43" spans="1:18" s="3" customFormat="1" x14ac:dyDescent="0.2">
      <c r="A43" s="3" t="s">
        <v>57</v>
      </c>
      <c r="R43" s="3">
        <f>+R42/(R25+R26+R27+R28+R29+R31)</f>
        <v>0.28998465689646052</v>
      </c>
    </row>
    <row r="45" spans="1:18" x14ac:dyDescent="0.2">
      <c r="A45" s="1" t="s">
        <v>58</v>
      </c>
      <c r="R45" s="1">
        <f>+R12</f>
        <v>2803</v>
      </c>
    </row>
    <row r="46" spans="1:18" x14ac:dyDescent="0.2">
      <c r="A46" s="1" t="s">
        <v>59</v>
      </c>
      <c r="R46" s="1">
        <v>3335</v>
      </c>
    </row>
    <row r="47" spans="1:18" x14ac:dyDescent="0.2">
      <c r="A47" s="1" t="s">
        <v>60</v>
      </c>
      <c r="R47" s="1">
        <v>267</v>
      </c>
    </row>
    <row r="48" spans="1:18" x14ac:dyDescent="0.2">
      <c r="A48" s="1" t="s">
        <v>61</v>
      </c>
      <c r="R48" s="1">
        <v>63</v>
      </c>
    </row>
    <row r="49" spans="1:18" x14ac:dyDescent="0.2">
      <c r="A49" s="1" t="s">
        <v>46</v>
      </c>
      <c r="R49" s="1">
        <v>95</v>
      </c>
    </row>
    <row r="50" spans="1:18" x14ac:dyDescent="0.2">
      <c r="A50" s="1" t="s">
        <v>62</v>
      </c>
      <c r="R50" s="1">
        <v>-264</v>
      </c>
    </row>
    <row r="51" spans="1:18" x14ac:dyDescent="0.2">
      <c r="A51" s="1" t="s">
        <v>63</v>
      </c>
      <c r="R51" s="1">
        <v>50</v>
      </c>
    </row>
    <row r="52" spans="1:18" x14ac:dyDescent="0.2">
      <c r="A52" s="1" t="s">
        <v>64</v>
      </c>
      <c r="R52" s="1">
        <v>-331</v>
      </c>
    </row>
    <row r="53" spans="1:18" x14ac:dyDescent="0.2">
      <c r="A53" s="1" t="s">
        <v>65</v>
      </c>
      <c r="R53" s="1">
        <v>0</v>
      </c>
    </row>
    <row r="54" spans="1:18" x14ac:dyDescent="0.2">
      <c r="A54" s="1" t="s">
        <v>49</v>
      </c>
      <c r="R54" s="1">
        <v>104</v>
      </c>
    </row>
    <row r="55" spans="1:18" s="5" customFormat="1" x14ac:dyDescent="0.2">
      <c r="A55" s="5" t="s">
        <v>66</v>
      </c>
      <c r="R55" s="5">
        <f>+SUM(R46:R54)</f>
        <v>3319</v>
      </c>
    </row>
    <row r="57" spans="1:18" x14ac:dyDescent="0.2">
      <c r="A57" s="1" t="s">
        <v>67</v>
      </c>
      <c r="R57" s="1">
        <f>+-2507+1005</f>
        <v>-1502</v>
      </c>
    </row>
    <row r="58" spans="1:18" x14ac:dyDescent="0.2">
      <c r="A58" s="1" t="s">
        <v>68</v>
      </c>
      <c r="R58" s="1">
        <v>-42</v>
      </c>
    </row>
    <row r="59" spans="1:18" x14ac:dyDescent="0.2">
      <c r="A59" s="1" t="s">
        <v>69</v>
      </c>
      <c r="R59" s="1">
        <v>748</v>
      </c>
    </row>
    <row r="60" spans="1:18" x14ac:dyDescent="0.2">
      <c r="A60" s="1" t="s">
        <v>70</v>
      </c>
      <c r="R60" s="1">
        <f>-309+8</f>
        <v>-301</v>
      </c>
    </row>
    <row r="61" spans="1:18" x14ac:dyDescent="0.2">
      <c r="A61" s="1" t="s">
        <v>71</v>
      </c>
      <c r="R61" s="1">
        <v>-15</v>
      </c>
    </row>
    <row r="62" spans="1:18" x14ac:dyDescent="0.2">
      <c r="A62" s="1" t="s">
        <v>49</v>
      </c>
      <c r="R62" s="1">
        <v>45</v>
      </c>
    </row>
    <row r="63" spans="1:18" x14ac:dyDescent="0.2">
      <c r="A63" s="1" t="s">
        <v>72</v>
      </c>
      <c r="R63" s="1">
        <f>+SUM(R57:R62)</f>
        <v>-1067</v>
      </c>
    </row>
    <row r="65" spans="1:18" x14ac:dyDescent="0.2">
      <c r="A65" s="1" t="s">
        <v>35</v>
      </c>
      <c r="R65" s="1">
        <f>5436-1599</f>
        <v>3837</v>
      </c>
    </row>
    <row r="66" spans="1:18" x14ac:dyDescent="0.2">
      <c r="A66" s="1" t="s">
        <v>73</v>
      </c>
      <c r="R66" s="1">
        <v>159</v>
      </c>
    </row>
    <row r="67" spans="1:18" x14ac:dyDescent="0.2">
      <c r="A67" s="1" t="s">
        <v>74</v>
      </c>
      <c r="R67" s="1">
        <v>-370</v>
      </c>
    </row>
    <row r="68" spans="1:18" x14ac:dyDescent="0.2">
      <c r="A68" s="1" t="s">
        <v>75</v>
      </c>
      <c r="R68" s="1">
        <v>-89</v>
      </c>
    </row>
    <row r="69" spans="1:18" x14ac:dyDescent="0.2">
      <c r="A69" s="1" t="s">
        <v>49</v>
      </c>
      <c r="R69" s="1">
        <v>-105</v>
      </c>
    </row>
    <row r="70" spans="1:18" x14ac:dyDescent="0.2">
      <c r="A70" s="1" t="s">
        <v>76</v>
      </c>
      <c r="R70" s="1">
        <f>+SUM(R65:R69)</f>
        <v>3432</v>
      </c>
    </row>
    <row r="71" spans="1:18" x14ac:dyDescent="0.2">
      <c r="A71" s="1" t="s">
        <v>63</v>
      </c>
      <c r="R71" s="1">
        <v>163</v>
      </c>
    </row>
    <row r="72" spans="1:18" x14ac:dyDescent="0.2">
      <c r="A72" s="1" t="s">
        <v>77</v>
      </c>
      <c r="R72" s="1">
        <f>+R55+R63+R70+R71</f>
        <v>5847</v>
      </c>
    </row>
    <row r="74" spans="1:18" x14ac:dyDescent="0.2">
      <c r="A74" s="1" t="s">
        <v>78</v>
      </c>
      <c r="R74" s="1">
        <f>+R55+R60</f>
        <v>3018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Fidel</cp:lastModifiedBy>
  <dcterms:created xsi:type="dcterms:W3CDTF">2025-01-09T16:01:03Z</dcterms:created>
  <dcterms:modified xsi:type="dcterms:W3CDTF">2025-05-01T12:01:14Z</dcterms:modified>
</cp:coreProperties>
</file>