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F537047D-AF97-4693-B09C-B60A475DE1ED}" xr6:coauthVersionLast="47" xr6:coauthVersionMax="47" xr10:uidLastSave="{00000000-0000-0000-0000-000000000000}"/>
  <bookViews>
    <workbookView xWindow="0" yWindow="0" windowWidth="14400" windowHeight="15600" xr2:uid="{739156F0-8EEA-4682-9E1A-597D97634032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" i="2" l="1"/>
  <c r="M7" i="1"/>
  <c r="M6" i="1"/>
  <c r="M4" i="1"/>
  <c r="V106" i="2"/>
  <c r="W106" i="2"/>
  <c r="W5" i="2"/>
  <c r="W6" i="2" s="1"/>
  <c r="V5" i="2"/>
  <c r="W4" i="2"/>
  <c r="W13" i="2"/>
  <c r="W82" i="2"/>
  <c r="W78" i="2"/>
  <c r="W79" i="2" s="1"/>
  <c r="W90" i="2"/>
  <c r="W93" i="2"/>
  <c r="W85" i="2"/>
  <c r="W64" i="2"/>
  <c r="W62" i="2"/>
  <c r="W61" i="2"/>
  <c r="W50" i="2"/>
  <c r="W40" i="2"/>
  <c r="W59" i="2"/>
  <c r="W55" i="2"/>
  <c r="W57" i="2" s="1"/>
  <c r="W48" i="2"/>
  <c r="W36" i="2"/>
  <c r="W26" i="2"/>
  <c r="W32" i="2" s="1"/>
  <c r="W21" i="2"/>
  <c r="W17" i="2"/>
  <c r="BA35" i="2"/>
  <c r="V95" i="2"/>
  <c r="V92" i="2"/>
  <c r="V91" i="2"/>
  <c r="V90" i="2"/>
  <c r="V89" i="2"/>
  <c r="V88" i="2"/>
  <c r="V87" i="2"/>
  <c r="U93" i="2"/>
  <c r="T84" i="2"/>
  <c r="U84" i="2" s="1"/>
  <c r="V84" i="2" s="1"/>
  <c r="T83" i="2"/>
  <c r="U83" i="2" s="1"/>
  <c r="V83" i="2" s="1"/>
  <c r="T81" i="2"/>
  <c r="V77" i="2"/>
  <c r="V76" i="2"/>
  <c r="V74" i="2"/>
  <c r="V73" i="2"/>
  <c r="V72" i="2"/>
  <c r="V71" i="2"/>
  <c r="V70" i="2"/>
  <c r="V69" i="2"/>
  <c r="V68" i="2"/>
  <c r="V67" i="2"/>
  <c r="V66" i="2"/>
  <c r="V65" i="2"/>
  <c r="V50" i="2"/>
  <c r="V55" i="2" s="1"/>
  <c r="V57" i="2" s="1"/>
  <c r="V40" i="2"/>
  <c r="V39" i="2" s="1"/>
  <c r="AN39" i="2" s="1"/>
  <c r="AN28" i="2"/>
  <c r="V25" i="2"/>
  <c r="V23" i="2"/>
  <c r="V20" i="2"/>
  <c r="V19" i="2"/>
  <c r="V18" i="2"/>
  <c r="V16" i="2"/>
  <c r="V14" i="2"/>
  <c r="V12" i="2"/>
  <c r="V11" i="2"/>
  <c r="AN15" i="2"/>
  <c r="AO16" i="2"/>
  <c r="AP16" i="2" s="1"/>
  <c r="AQ16" i="2" s="1"/>
  <c r="AR16" i="2" s="1"/>
  <c r="AS16" i="2" s="1"/>
  <c r="AT16" i="2" s="1"/>
  <c r="AU16" i="2" s="1"/>
  <c r="AV16" i="2" s="1"/>
  <c r="AW16" i="2" s="1"/>
  <c r="AX16" i="2" s="1"/>
  <c r="AO19" i="2"/>
  <c r="AP19" i="2" s="1"/>
  <c r="AQ19" i="2" s="1"/>
  <c r="AR19" i="2" s="1"/>
  <c r="AS19" i="2" s="1"/>
  <c r="AT19" i="2" s="1"/>
  <c r="AU19" i="2" s="1"/>
  <c r="AV19" i="2" s="1"/>
  <c r="AW19" i="2" s="1"/>
  <c r="AX19" i="2" s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B20" i="2"/>
  <c r="AO18" i="2"/>
  <c r="AP18" i="2" s="1"/>
  <c r="AQ18" i="2" s="1"/>
  <c r="AR18" i="2" s="1"/>
  <c r="AS18" i="2" s="1"/>
  <c r="AT18" i="2" s="1"/>
  <c r="AU18" i="2" s="1"/>
  <c r="AV18" i="2" s="1"/>
  <c r="AW18" i="2" s="1"/>
  <c r="AX18" i="2" s="1"/>
  <c r="W98" i="2" l="1"/>
  <c r="W96" i="2"/>
  <c r="W39" i="2"/>
  <c r="W27" i="2"/>
  <c r="W30" i="2"/>
  <c r="W22" i="2"/>
  <c r="V13" i="2"/>
  <c r="V93" i="2"/>
  <c r="V48" i="2"/>
  <c r="V78" i="2"/>
  <c r="V79" i="2" s="1"/>
  <c r="V15" i="2"/>
  <c r="V17" i="2" s="1"/>
  <c r="V30" i="2" s="1"/>
  <c r="V21" i="2"/>
  <c r="U81" i="2"/>
  <c r="AI34" i="2"/>
  <c r="AH34" i="2"/>
  <c r="AG34" i="2"/>
  <c r="AF34" i="2"/>
  <c r="AE34" i="2"/>
  <c r="AD34" i="2"/>
  <c r="AB16" i="2"/>
  <c r="AB19" i="2"/>
  <c r="AB18" i="2"/>
  <c r="AM21" i="2"/>
  <c r="AL21" i="2"/>
  <c r="AK21" i="2"/>
  <c r="AB28" i="2"/>
  <c r="W100" i="2" l="1"/>
  <c r="W101" i="2" s="1"/>
  <c r="W99" i="2"/>
  <c r="W24" i="2"/>
  <c r="W33" i="2" s="1"/>
  <c r="W31" i="2"/>
  <c r="V22" i="2"/>
  <c r="V24" i="2" s="1"/>
  <c r="V33" i="2" s="1"/>
  <c r="V61" i="2" s="1"/>
  <c r="V62" i="2" s="1"/>
  <c r="V81" i="2"/>
  <c r="V98" i="2" s="1"/>
  <c r="V100" i="2" s="1"/>
  <c r="AO28" i="2"/>
  <c r="AP28" i="2" s="1"/>
  <c r="AQ28" i="2" s="1"/>
  <c r="AR28" i="2" s="1"/>
  <c r="AS28" i="2" s="1"/>
  <c r="AT28" i="2" s="1"/>
  <c r="AU28" i="2" s="1"/>
  <c r="AV28" i="2" s="1"/>
  <c r="AW28" i="2" s="1"/>
  <c r="AX28" i="2" s="1"/>
  <c r="V31" i="2" l="1"/>
  <c r="V26" i="2"/>
  <c r="V3" i="2"/>
  <c r="V4" i="2" s="1"/>
  <c r="V27" i="2" l="1"/>
  <c r="V64" i="2"/>
  <c r="V32" i="2"/>
  <c r="AN3" i="2"/>
  <c r="AJ14" i="2" l="1"/>
  <c r="AJ12" i="2"/>
  <c r="AL12" i="2"/>
  <c r="AL14" i="2"/>
  <c r="AL11" i="2"/>
  <c r="AJ3" i="2"/>
  <c r="AK3" i="2"/>
  <c r="AL3" i="2"/>
  <c r="AM3" i="2"/>
  <c r="AM14" i="2"/>
  <c r="AM12" i="2"/>
  <c r="AM11" i="2"/>
  <c r="J12" i="2"/>
  <c r="AK12" i="2" s="1"/>
  <c r="J11" i="2"/>
  <c r="AK11" i="2" s="1"/>
  <c r="F11" i="2"/>
  <c r="AJ11" i="2" s="1"/>
  <c r="J14" i="2"/>
  <c r="G4" i="2"/>
  <c r="N4" i="2"/>
  <c r="M4" i="2"/>
  <c r="L4" i="2"/>
  <c r="K4" i="2"/>
  <c r="J4" i="2"/>
  <c r="I4" i="2"/>
  <c r="H4" i="2"/>
  <c r="K13" i="2"/>
  <c r="I13" i="2"/>
  <c r="H13" i="2"/>
  <c r="G13" i="2"/>
  <c r="E13" i="2"/>
  <c r="E5" i="2" s="1"/>
  <c r="D13" i="2"/>
  <c r="D5" i="2" s="1"/>
  <c r="C13" i="2"/>
  <c r="H5" i="2" l="1"/>
  <c r="H6" i="2" s="1"/>
  <c r="H15" i="2"/>
  <c r="AK14" i="2"/>
  <c r="G5" i="2"/>
  <c r="G15" i="2"/>
  <c r="G17" i="2" s="1"/>
  <c r="G30" i="2" s="1"/>
  <c r="K5" i="2"/>
  <c r="K6" i="2" s="1"/>
  <c r="K15" i="2"/>
  <c r="I5" i="2"/>
  <c r="I6" i="2" s="1"/>
  <c r="I15" i="2"/>
  <c r="I17" i="2" s="1"/>
  <c r="AM13" i="2"/>
  <c r="AM15" i="2" s="1"/>
  <c r="AK4" i="2"/>
  <c r="AM4" i="2"/>
  <c r="AL13" i="2"/>
  <c r="AK13" i="2"/>
  <c r="AL4" i="2"/>
  <c r="AN5" i="2"/>
  <c r="AN4" i="2"/>
  <c r="AJ13" i="2"/>
  <c r="F13" i="2"/>
  <c r="J13" i="2"/>
  <c r="J5" i="2" s="1"/>
  <c r="T4" i="2"/>
  <c r="S4" i="2"/>
  <c r="R4" i="2"/>
  <c r="Q4" i="2"/>
  <c r="P4" i="2"/>
  <c r="O4" i="2"/>
  <c r="U4" i="2"/>
  <c r="T13" i="2"/>
  <c r="U13" i="2"/>
  <c r="U5" i="2" s="1"/>
  <c r="AO15" i="2"/>
  <c r="AP15" i="2" s="1"/>
  <c r="AQ15" i="2" s="1"/>
  <c r="AR15" i="2" s="1"/>
  <c r="AS15" i="2" s="1"/>
  <c r="AT15" i="2" s="1"/>
  <c r="AU15" i="2" s="1"/>
  <c r="AV15" i="2" s="1"/>
  <c r="AW15" i="2" s="1"/>
  <c r="AX15" i="2" s="1"/>
  <c r="S13" i="2"/>
  <c r="R13" i="2"/>
  <c r="Q13" i="2"/>
  <c r="P13" i="2"/>
  <c r="O13" i="2"/>
  <c r="N13" i="2"/>
  <c r="M13" i="2"/>
  <c r="L13" i="2"/>
  <c r="AD21" i="2"/>
  <c r="AD17" i="2"/>
  <c r="AD30" i="2" s="1"/>
  <c r="AE36" i="2"/>
  <c r="AE21" i="2"/>
  <c r="AE17" i="2"/>
  <c r="AF36" i="2"/>
  <c r="AF21" i="2"/>
  <c r="AF17" i="2"/>
  <c r="AG36" i="2"/>
  <c r="AG21" i="2"/>
  <c r="AG17" i="2"/>
  <c r="AH36" i="2"/>
  <c r="AH21" i="2"/>
  <c r="AH17" i="2"/>
  <c r="F28" i="2"/>
  <c r="F25" i="2"/>
  <c r="F23" i="2"/>
  <c r="F20" i="2"/>
  <c r="F19" i="2"/>
  <c r="F18" i="2"/>
  <c r="F16" i="2"/>
  <c r="J28" i="2"/>
  <c r="J25" i="2"/>
  <c r="J23" i="2"/>
  <c r="J20" i="2"/>
  <c r="J19" i="2"/>
  <c r="J18" i="2"/>
  <c r="J16" i="2"/>
  <c r="AI36" i="2"/>
  <c r="AI21" i="2"/>
  <c r="AI17" i="2"/>
  <c r="AJ21" i="2"/>
  <c r="AE2" i="2"/>
  <c r="AF2" i="2" s="1"/>
  <c r="AG2" i="2" s="1"/>
  <c r="AH2" i="2" s="1"/>
  <c r="AI2" i="2" s="1"/>
  <c r="E21" i="2"/>
  <c r="E17" i="2"/>
  <c r="I21" i="2"/>
  <c r="D21" i="2"/>
  <c r="D17" i="2"/>
  <c r="H21" i="2"/>
  <c r="H17" i="2"/>
  <c r="H30" i="2" s="1"/>
  <c r="C21" i="2"/>
  <c r="C17" i="2"/>
  <c r="G36" i="2"/>
  <c r="G21" i="2"/>
  <c r="I36" i="2" l="1"/>
  <c r="S5" i="2"/>
  <c r="S15" i="2"/>
  <c r="U15" i="2"/>
  <c r="U17" i="2" s="1"/>
  <c r="F5" i="2"/>
  <c r="J6" i="2" s="1"/>
  <c r="F15" i="2"/>
  <c r="H36" i="2" s="1"/>
  <c r="T5" i="2"/>
  <c r="T15" i="2"/>
  <c r="AJ5" i="2"/>
  <c r="AJ15" i="2"/>
  <c r="L5" i="2"/>
  <c r="L6" i="2" s="1"/>
  <c r="L15" i="2"/>
  <c r="M5" i="2"/>
  <c r="M6" i="2" s="1"/>
  <c r="M15" i="2"/>
  <c r="N5" i="2"/>
  <c r="N15" i="2"/>
  <c r="AM5" i="2"/>
  <c r="AK5" i="2"/>
  <c r="AK15" i="2"/>
  <c r="Q5" i="2"/>
  <c r="Q15" i="2"/>
  <c r="Q17" i="2" s="1"/>
  <c r="AL5" i="2"/>
  <c r="AL15" i="2"/>
  <c r="AL34" i="2" s="1"/>
  <c r="AB15" i="2"/>
  <c r="AM34" i="2"/>
  <c r="O5" i="2"/>
  <c r="O6" i="2" s="1"/>
  <c r="O15" i="2"/>
  <c r="P5" i="2"/>
  <c r="P15" i="2"/>
  <c r="J15" i="2"/>
  <c r="J36" i="2" s="1"/>
  <c r="R5" i="2"/>
  <c r="V6" i="2" s="1"/>
  <c r="R15" i="2"/>
  <c r="V36" i="2" s="1"/>
  <c r="N6" i="2"/>
  <c r="AN34" i="2"/>
  <c r="AN21" i="2"/>
  <c r="AN17" i="2"/>
  <c r="AN36" i="2"/>
  <c r="F21" i="2"/>
  <c r="J21" i="2"/>
  <c r="F17" i="2"/>
  <c r="F30" i="2" s="1"/>
  <c r="AD22" i="2"/>
  <c r="AE22" i="2"/>
  <c r="AE31" i="2" s="1"/>
  <c r="AE30" i="2"/>
  <c r="AF22" i="2"/>
  <c r="AF31" i="2" s="1"/>
  <c r="AF30" i="2"/>
  <c r="AG22" i="2"/>
  <c r="AG31" i="2" s="1"/>
  <c r="AG30" i="2"/>
  <c r="AH22" i="2"/>
  <c r="AH31" i="2" s="1"/>
  <c r="AH30" i="2"/>
  <c r="AI22" i="2"/>
  <c r="AI31" i="2" s="1"/>
  <c r="AI30" i="2"/>
  <c r="E22" i="2"/>
  <c r="E24" i="2" s="1"/>
  <c r="E30" i="2"/>
  <c r="I22" i="2"/>
  <c r="I24" i="2" s="1"/>
  <c r="I30" i="2"/>
  <c r="D22" i="2"/>
  <c r="D24" i="2" s="1"/>
  <c r="D30" i="2"/>
  <c r="H22" i="2"/>
  <c r="C22" i="2"/>
  <c r="C24" i="2" s="1"/>
  <c r="C30" i="2"/>
  <c r="G22" i="2"/>
  <c r="G24" i="2" s="1"/>
  <c r="U78" i="2"/>
  <c r="U79" i="2" s="1"/>
  <c r="U98" i="2" s="1"/>
  <c r="U100" i="2" s="1"/>
  <c r="U50" i="2"/>
  <c r="U55" i="2" s="1"/>
  <c r="U57" i="2" s="1"/>
  <c r="U40" i="2"/>
  <c r="U21" i="2"/>
  <c r="T93" i="2"/>
  <c r="T78" i="2"/>
  <c r="T79" i="2" s="1"/>
  <c r="T98" i="2" s="1"/>
  <c r="T100" i="2" s="1"/>
  <c r="T50" i="2"/>
  <c r="T55" i="2" s="1"/>
  <c r="T40" i="2"/>
  <c r="T48" i="2" s="1"/>
  <c r="T21" i="2"/>
  <c r="S93" i="2"/>
  <c r="S82" i="2"/>
  <c r="S78" i="2"/>
  <c r="S79" i="2" s="1"/>
  <c r="S50" i="2"/>
  <c r="S55" i="2" s="1"/>
  <c r="S40" i="2"/>
  <c r="S39" i="2" s="1"/>
  <c r="S36" i="2"/>
  <c r="S21" i="2"/>
  <c r="S17" i="2"/>
  <c r="S30" i="2" s="1"/>
  <c r="N82" i="2"/>
  <c r="N81" i="2"/>
  <c r="N70" i="2"/>
  <c r="N93" i="2"/>
  <c r="N78" i="2"/>
  <c r="R82" i="2"/>
  <c r="R81" i="2"/>
  <c r="R70" i="2"/>
  <c r="R93" i="2"/>
  <c r="R78" i="2"/>
  <c r="M50" i="2"/>
  <c r="M46" i="2"/>
  <c r="M40" i="2"/>
  <c r="L50" i="2"/>
  <c r="L46" i="2"/>
  <c r="L40" i="2"/>
  <c r="K50" i="2"/>
  <c r="K46" i="2"/>
  <c r="K40" i="2"/>
  <c r="N40" i="2"/>
  <c r="N50" i="2"/>
  <c r="N55" i="2" s="1"/>
  <c r="N46" i="2"/>
  <c r="R50" i="2"/>
  <c r="R55" i="2" s="1"/>
  <c r="R46" i="2"/>
  <c r="R40" i="2"/>
  <c r="N17" i="2"/>
  <c r="N30" i="2" s="1"/>
  <c r="N21" i="2"/>
  <c r="R21" i="2"/>
  <c r="M82" i="2"/>
  <c r="M81" i="2"/>
  <c r="M93" i="2"/>
  <c r="M78" i="2"/>
  <c r="M79" i="2" s="1"/>
  <c r="Q93" i="2"/>
  <c r="Q82" i="2"/>
  <c r="Q81" i="2"/>
  <c r="Q78" i="2"/>
  <c r="Q79" i="2" s="1"/>
  <c r="Q50" i="2"/>
  <c r="Q55" i="2" s="1"/>
  <c r="Q46" i="2"/>
  <c r="Q40" i="2"/>
  <c r="M36" i="2"/>
  <c r="M21" i="2"/>
  <c r="M17" i="2"/>
  <c r="Q21" i="2"/>
  <c r="L93" i="2"/>
  <c r="P93" i="2"/>
  <c r="O93" i="2"/>
  <c r="K93" i="2"/>
  <c r="L82" i="2"/>
  <c r="L81" i="2"/>
  <c r="L78" i="2"/>
  <c r="L79" i="2" s="1"/>
  <c r="P82" i="2"/>
  <c r="P81" i="2"/>
  <c r="P78" i="2"/>
  <c r="P65" i="2"/>
  <c r="O82" i="2"/>
  <c r="O81" i="2"/>
  <c r="O78" i="2"/>
  <c r="O79" i="2" s="1"/>
  <c r="K82" i="2"/>
  <c r="K81" i="2"/>
  <c r="Q6" i="2" l="1"/>
  <c r="T6" i="2"/>
  <c r="U36" i="2"/>
  <c r="J17" i="2"/>
  <c r="J30" i="2" s="1"/>
  <c r="S98" i="2"/>
  <c r="AN79" i="2"/>
  <c r="AN98" i="2" s="1"/>
  <c r="R17" i="2"/>
  <c r="T36" i="2"/>
  <c r="Q36" i="2"/>
  <c r="S100" i="2"/>
  <c r="V101" i="2" s="1"/>
  <c r="V99" i="2"/>
  <c r="T17" i="2"/>
  <c r="T30" i="2" s="1"/>
  <c r="R36" i="2"/>
  <c r="P6" i="2"/>
  <c r="N36" i="2"/>
  <c r="AL36" i="2"/>
  <c r="R6" i="2"/>
  <c r="U6" i="2"/>
  <c r="S6" i="2"/>
  <c r="AJ34" i="2"/>
  <c r="AJ36" i="2"/>
  <c r="AJ17" i="2"/>
  <c r="AK34" i="2"/>
  <c r="AK36" i="2"/>
  <c r="S85" i="2"/>
  <c r="S96" i="2" s="1"/>
  <c r="T82" i="2"/>
  <c r="T85" i="2" s="1"/>
  <c r="AM36" i="2"/>
  <c r="AO34" i="2"/>
  <c r="AO21" i="2"/>
  <c r="AO17" i="2"/>
  <c r="AN22" i="2"/>
  <c r="AN30" i="2"/>
  <c r="AO36" i="2"/>
  <c r="J22" i="2"/>
  <c r="J24" i="2" s="1"/>
  <c r="F22" i="2"/>
  <c r="F31" i="2" s="1"/>
  <c r="AD24" i="2"/>
  <c r="AD31" i="2"/>
  <c r="AE24" i="2"/>
  <c r="AE26" i="2" s="1"/>
  <c r="AF24" i="2"/>
  <c r="AF33" i="2" s="1"/>
  <c r="AG24" i="2"/>
  <c r="AG33" i="2" s="1"/>
  <c r="AH24" i="2"/>
  <c r="AH26" i="2" s="1"/>
  <c r="AI24" i="2"/>
  <c r="AI33" i="2" s="1"/>
  <c r="D31" i="2"/>
  <c r="E31" i="2"/>
  <c r="E33" i="2"/>
  <c r="E26" i="2"/>
  <c r="I31" i="2"/>
  <c r="I33" i="2"/>
  <c r="I26" i="2"/>
  <c r="D33" i="2"/>
  <c r="D26" i="2"/>
  <c r="H24" i="2"/>
  <c r="H31" i="2"/>
  <c r="C31" i="2"/>
  <c r="C33" i="2"/>
  <c r="C26" i="2"/>
  <c r="G31" i="2"/>
  <c r="U39" i="2"/>
  <c r="U48" i="2"/>
  <c r="R48" i="2"/>
  <c r="R56" i="2" s="1"/>
  <c r="R57" i="2" s="1"/>
  <c r="M48" i="2"/>
  <c r="T96" i="2"/>
  <c r="U22" i="2"/>
  <c r="U30" i="2"/>
  <c r="N85" i="2"/>
  <c r="T56" i="2"/>
  <c r="T57" i="2" s="1"/>
  <c r="T39" i="2"/>
  <c r="P85" i="2"/>
  <c r="S48" i="2"/>
  <c r="S56" i="2" s="1"/>
  <c r="S57" i="2" s="1"/>
  <c r="O85" i="2"/>
  <c r="O96" i="2" s="1"/>
  <c r="Q85" i="2"/>
  <c r="Q96" i="2" s="1"/>
  <c r="L85" i="2"/>
  <c r="L96" i="2" s="1"/>
  <c r="N48" i="2"/>
  <c r="N56" i="2" s="1"/>
  <c r="N57" i="2" s="1"/>
  <c r="R79" i="2"/>
  <c r="R98" i="2" s="1"/>
  <c r="Q98" i="2"/>
  <c r="Q100" i="2" s="1"/>
  <c r="N39" i="2"/>
  <c r="M55" i="2"/>
  <c r="S22" i="2"/>
  <c r="N79" i="2"/>
  <c r="N98" i="2" s="1"/>
  <c r="N100" i="2" s="1"/>
  <c r="R85" i="2"/>
  <c r="R39" i="2"/>
  <c r="N22" i="2"/>
  <c r="R22" i="2"/>
  <c r="R30" i="2"/>
  <c r="M85" i="2"/>
  <c r="M96" i="2" s="1"/>
  <c r="M98" i="2"/>
  <c r="M100" i="2" s="1"/>
  <c r="M39" i="2"/>
  <c r="Q48" i="2"/>
  <c r="Q56" i="2" s="1"/>
  <c r="Q57" i="2" s="1"/>
  <c r="Q39" i="2"/>
  <c r="M22" i="2"/>
  <c r="M30" i="2"/>
  <c r="Q22" i="2"/>
  <c r="Q30" i="2"/>
  <c r="K85" i="2"/>
  <c r="O98" i="2"/>
  <c r="O100" i="2" s="1"/>
  <c r="P79" i="2"/>
  <c r="P98" i="2" s="1"/>
  <c r="P100" i="2" s="1"/>
  <c r="L98" i="2"/>
  <c r="L100" i="2" s="1"/>
  <c r="K78" i="2"/>
  <c r="K79" i="2" s="1"/>
  <c r="K55" i="2"/>
  <c r="K39" i="2"/>
  <c r="O50" i="2"/>
  <c r="O55" i="2" s="1"/>
  <c r="O46" i="2"/>
  <c r="O40" i="2"/>
  <c r="O39" i="2" s="1"/>
  <c r="K36" i="2"/>
  <c r="K21" i="2"/>
  <c r="K17" i="2"/>
  <c r="O36" i="2"/>
  <c r="O21" i="2"/>
  <c r="O17" i="2"/>
  <c r="O30" i="2" s="1"/>
  <c r="P46" i="2"/>
  <c r="L55" i="2"/>
  <c r="L39" i="2"/>
  <c r="P50" i="2"/>
  <c r="P55" i="2" s="1"/>
  <c r="P40" i="2"/>
  <c r="P39" i="2" s="1"/>
  <c r="P36" i="2"/>
  <c r="L36" i="2"/>
  <c r="L21" i="2"/>
  <c r="L17" i="2"/>
  <c r="P17" i="2"/>
  <c r="P21" i="2"/>
  <c r="AK17" i="2"/>
  <c r="AK30" i="2" s="1"/>
  <c r="AL17" i="2"/>
  <c r="AL30" i="2" s="1"/>
  <c r="AM17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M5" i="1"/>
  <c r="T22" i="2" l="1"/>
  <c r="T24" i="2" s="1"/>
  <c r="T33" i="2" s="1"/>
  <c r="T61" i="2" s="1"/>
  <c r="T62" i="2" s="1"/>
  <c r="U82" i="2"/>
  <c r="U85" i="2" s="1"/>
  <c r="U96" i="2" s="1"/>
  <c r="AJ30" i="2"/>
  <c r="AJ22" i="2"/>
  <c r="AM39" i="2"/>
  <c r="AN24" i="2" s="1"/>
  <c r="AN26" i="2" s="1"/>
  <c r="U38" i="2"/>
  <c r="AO22" i="2"/>
  <c r="AP21" i="2"/>
  <c r="AP34" i="2"/>
  <c r="AP17" i="2"/>
  <c r="AP36" i="2"/>
  <c r="AO30" i="2"/>
  <c r="AN31" i="2"/>
  <c r="AE33" i="2"/>
  <c r="J31" i="2"/>
  <c r="F24" i="2"/>
  <c r="F26" i="2" s="1"/>
  <c r="J33" i="2"/>
  <c r="J26" i="2"/>
  <c r="AD33" i="2"/>
  <c r="AD26" i="2"/>
  <c r="AE32" i="2"/>
  <c r="AE27" i="2"/>
  <c r="AF26" i="2"/>
  <c r="AF32" i="2" s="1"/>
  <c r="AG26" i="2"/>
  <c r="AG32" i="2" s="1"/>
  <c r="AH33" i="2"/>
  <c r="AH32" i="2"/>
  <c r="AH27" i="2"/>
  <c r="AI26" i="2"/>
  <c r="AI32" i="2" s="1"/>
  <c r="E32" i="2"/>
  <c r="E27" i="2"/>
  <c r="I32" i="2"/>
  <c r="I27" i="2"/>
  <c r="D27" i="2"/>
  <c r="D32" i="2"/>
  <c r="H33" i="2"/>
  <c r="H26" i="2"/>
  <c r="C32" i="2"/>
  <c r="C27" i="2"/>
  <c r="G33" i="2"/>
  <c r="G26" i="2"/>
  <c r="Q101" i="2"/>
  <c r="M24" i="2"/>
  <c r="M26" i="2" s="1"/>
  <c r="R31" i="2"/>
  <c r="U24" i="2"/>
  <c r="U33" i="2" s="1"/>
  <c r="U61" i="2" s="1"/>
  <c r="U62" i="2" s="1"/>
  <c r="M8" i="1"/>
  <c r="AN103" i="2" s="1"/>
  <c r="Q31" i="2"/>
  <c r="U99" i="2"/>
  <c r="R100" i="2"/>
  <c r="U101" i="2" s="1"/>
  <c r="P101" i="2"/>
  <c r="O101" i="2"/>
  <c r="M56" i="2"/>
  <c r="M57" i="2" s="1"/>
  <c r="T99" i="2"/>
  <c r="U31" i="2"/>
  <c r="S99" i="2"/>
  <c r="R96" i="2"/>
  <c r="R99" i="2"/>
  <c r="P99" i="2"/>
  <c r="Q99" i="2"/>
  <c r="O99" i="2"/>
  <c r="S31" i="2"/>
  <c r="S24" i="2"/>
  <c r="N96" i="2"/>
  <c r="N31" i="2"/>
  <c r="N24" i="2"/>
  <c r="R24" i="2"/>
  <c r="R33" i="2" s="1"/>
  <c r="R61" i="2" s="1"/>
  <c r="R62" i="2" s="1"/>
  <c r="M31" i="2"/>
  <c r="Q24" i="2"/>
  <c r="Q33" i="2" s="1"/>
  <c r="Q61" i="2" s="1"/>
  <c r="Q62" i="2" s="1"/>
  <c r="O48" i="2"/>
  <c r="O56" i="2" s="1"/>
  <c r="O57" i="2" s="1"/>
  <c r="K98" i="2"/>
  <c r="K100" i="2" s="1"/>
  <c r="N101" i="2" s="1"/>
  <c r="K96" i="2"/>
  <c r="K48" i="2"/>
  <c r="K56" i="2" s="1"/>
  <c r="K57" i="2" s="1"/>
  <c r="P96" i="2"/>
  <c r="K22" i="2"/>
  <c r="K30" i="2"/>
  <c r="O22" i="2"/>
  <c r="P48" i="2"/>
  <c r="P56" i="2" s="1"/>
  <c r="P57" i="2" s="1"/>
  <c r="L48" i="2"/>
  <c r="L56" i="2" s="1"/>
  <c r="L57" i="2" s="1"/>
  <c r="L22" i="2"/>
  <c r="L30" i="2"/>
  <c r="P22" i="2"/>
  <c r="P30" i="2"/>
  <c r="AM22" i="2"/>
  <c r="AM31" i="2" s="1"/>
  <c r="AM30" i="2"/>
  <c r="AK22" i="2"/>
  <c r="AL22" i="2"/>
  <c r="T31" i="2" l="1"/>
  <c r="V82" i="2"/>
  <c r="V85" i="2" s="1"/>
  <c r="V96" i="2" s="1"/>
  <c r="AJ31" i="2"/>
  <c r="AJ24" i="2"/>
  <c r="AP22" i="2"/>
  <c r="AP31" i="2" s="1"/>
  <c r="AQ34" i="2"/>
  <c r="AQ21" i="2"/>
  <c r="AN33" i="2"/>
  <c r="AQ17" i="2"/>
  <c r="AO31" i="2"/>
  <c r="AP30" i="2"/>
  <c r="AQ36" i="2"/>
  <c r="F33" i="2"/>
  <c r="F32" i="2"/>
  <c r="F27" i="2"/>
  <c r="J32" i="2"/>
  <c r="J27" i="2"/>
  <c r="AD32" i="2"/>
  <c r="AD27" i="2"/>
  <c r="AF27" i="2"/>
  <c r="AG27" i="2"/>
  <c r="AI27" i="2"/>
  <c r="H32" i="2"/>
  <c r="H27" i="2"/>
  <c r="S101" i="2"/>
  <c r="U26" i="2"/>
  <c r="U64" i="2" s="1"/>
  <c r="G32" i="2"/>
  <c r="G27" i="2"/>
  <c r="M64" i="2"/>
  <c r="P24" i="2"/>
  <c r="P33" i="2" s="1"/>
  <c r="P61" i="2" s="1"/>
  <c r="P62" i="2" s="1"/>
  <c r="R101" i="2"/>
  <c r="K31" i="2"/>
  <c r="L31" i="2"/>
  <c r="M33" i="2"/>
  <c r="M61" i="2" s="1"/>
  <c r="M62" i="2" s="1"/>
  <c r="T101" i="2"/>
  <c r="T26" i="2"/>
  <c r="Q26" i="2"/>
  <c r="R26" i="2"/>
  <c r="L99" i="2"/>
  <c r="K99" i="2"/>
  <c r="N99" i="2"/>
  <c r="M99" i="2"/>
  <c r="S33" i="2"/>
  <c r="S61" i="2" s="1"/>
  <c r="S62" i="2" s="1"/>
  <c r="S26" i="2"/>
  <c r="N26" i="2"/>
  <c r="N33" i="2"/>
  <c r="N61" i="2" s="1"/>
  <c r="N62" i="2" s="1"/>
  <c r="M32" i="2"/>
  <c r="M27" i="2"/>
  <c r="K24" i="2"/>
  <c r="K26" i="2" s="1"/>
  <c r="O31" i="2"/>
  <c r="O24" i="2"/>
  <c r="L24" i="2"/>
  <c r="L26" i="2" s="1"/>
  <c r="P31" i="2"/>
  <c r="AM24" i="2"/>
  <c r="AM33" i="2" s="1"/>
  <c r="AL24" i="2"/>
  <c r="AL26" i="2" s="1"/>
  <c r="AL31" i="2"/>
  <c r="AK31" i="2"/>
  <c r="AK24" i="2"/>
  <c r="M10" i="1" l="1"/>
  <c r="V59" i="2"/>
  <c r="V60" i="2" s="1"/>
  <c r="AJ26" i="2"/>
  <c r="AJ33" i="2"/>
  <c r="AQ22" i="2"/>
  <c r="AQ31" i="2" s="1"/>
  <c r="AN27" i="2"/>
  <c r="AR34" i="2"/>
  <c r="AR21" i="2"/>
  <c r="AR17" i="2"/>
  <c r="AQ30" i="2"/>
  <c r="S64" i="2"/>
  <c r="AR36" i="2"/>
  <c r="U32" i="2"/>
  <c r="U27" i="2"/>
  <c r="K64" i="2"/>
  <c r="N59" i="2"/>
  <c r="N60" i="2" s="1"/>
  <c r="Q64" i="2"/>
  <c r="T59" i="2"/>
  <c r="T60" i="2" s="1"/>
  <c r="N64" i="2"/>
  <c r="L64" i="2"/>
  <c r="R64" i="2"/>
  <c r="U59" i="2"/>
  <c r="U60" i="2" s="1"/>
  <c r="P26" i="2"/>
  <c r="Q27" i="2"/>
  <c r="T32" i="2"/>
  <c r="T64" i="2"/>
  <c r="T27" i="2"/>
  <c r="Q32" i="2"/>
  <c r="R32" i="2"/>
  <c r="R27" i="2"/>
  <c r="S32" i="2"/>
  <c r="S27" i="2"/>
  <c r="N27" i="2"/>
  <c r="N32" i="2"/>
  <c r="K33" i="2"/>
  <c r="K61" i="2" s="1"/>
  <c r="K62" i="2" s="1"/>
  <c r="K32" i="2"/>
  <c r="K27" i="2"/>
  <c r="O33" i="2"/>
  <c r="O61" i="2" s="1"/>
  <c r="O62" i="2" s="1"/>
  <c r="O26" i="2"/>
  <c r="O59" i="2" s="1"/>
  <c r="O60" i="2" s="1"/>
  <c r="L33" i="2"/>
  <c r="L61" i="2" s="1"/>
  <c r="L62" i="2" s="1"/>
  <c r="L27" i="2"/>
  <c r="L32" i="2"/>
  <c r="AM26" i="2"/>
  <c r="AM27" i="2" s="1"/>
  <c r="AL33" i="2"/>
  <c r="AL27" i="2"/>
  <c r="AL32" i="2"/>
  <c r="AK33" i="2"/>
  <c r="AK26" i="2"/>
  <c r="AJ32" i="2" l="1"/>
  <c r="AJ27" i="2"/>
  <c r="AR22" i="2"/>
  <c r="AR31" i="2" s="1"/>
  <c r="AS34" i="2"/>
  <c r="AS21" i="2"/>
  <c r="AS17" i="2"/>
  <c r="AR30" i="2"/>
  <c r="AN32" i="2"/>
  <c r="AO23" i="2"/>
  <c r="AS36" i="2"/>
  <c r="P59" i="2"/>
  <c r="P60" i="2" s="1"/>
  <c r="P64" i="2"/>
  <c r="S59" i="2"/>
  <c r="S60" i="2" s="1"/>
  <c r="Q59" i="2"/>
  <c r="Q60" i="2" s="1"/>
  <c r="O64" i="2"/>
  <c r="R59" i="2"/>
  <c r="R60" i="2" s="1"/>
  <c r="P27" i="2"/>
  <c r="P32" i="2"/>
  <c r="O32" i="2"/>
  <c r="O27" i="2"/>
  <c r="AM32" i="2"/>
  <c r="AK32" i="2"/>
  <c r="AK27" i="2"/>
  <c r="AS22" i="2" l="1"/>
  <c r="AS31" i="2" s="1"/>
  <c r="AT34" i="2"/>
  <c r="AT21" i="2"/>
  <c r="AT17" i="2"/>
  <c r="AT36" i="2"/>
  <c r="AS30" i="2"/>
  <c r="AO24" i="2"/>
  <c r="AO25" i="2" l="1"/>
  <c r="AO26" i="2"/>
  <c r="AT22" i="2"/>
  <c r="AT31" i="2" s="1"/>
  <c r="AU34" i="2"/>
  <c r="AU21" i="2"/>
  <c r="AU17" i="2"/>
  <c r="AO33" i="2"/>
  <c r="AT30" i="2"/>
  <c r="AU36" i="2"/>
  <c r="AO39" i="2" l="1"/>
  <c r="AU22" i="2"/>
  <c r="AU31" i="2" s="1"/>
  <c r="AV34" i="2"/>
  <c r="AV21" i="2"/>
  <c r="AV17" i="2"/>
  <c r="AU30" i="2"/>
  <c r="AV36" i="2"/>
  <c r="AV22" i="2" l="1"/>
  <c r="AV31" i="2" s="1"/>
  <c r="AW34" i="2"/>
  <c r="AW21" i="2"/>
  <c r="AO32" i="2"/>
  <c r="AO27" i="2"/>
  <c r="AW17" i="2"/>
  <c r="AV30" i="2"/>
  <c r="AW36" i="2"/>
  <c r="AW22" i="2" l="1"/>
  <c r="AW31" i="2" s="1"/>
  <c r="AP23" i="2"/>
  <c r="AP24" i="2" s="1"/>
  <c r="AP25" i="2" s="1"/>
  <c r="AP33" i="2" s="1"/>
  <c r="AX34" i="2"/>
  <c r="AX21" i="2"/>
  <c r="AX17" i="2"/>
  <c r="AW30" i="2"/>
  <c r="AX36" i="2"/>
  <c r="AX22" i="2" l="1"/>
  <c r="AX31" i="2" s="1"/>
  <c r="AP26" i="2"/>
  <c r="AX30" i="2"/>
  <c r="AP32" i="2" l="1"/>
  <c r="AP27" i="2"/>
  <c r="AP39" i="2"/>
  <c r="AQ23" i="2" l="1"/>
  <c r="AQ24" i="2" s="1"/>
  <c r="AQ25" i="2" s="1"/>
  <c r="AQ33" i="2" s="1"/>
  <c r="AQ26" i="2" l="1"/>
  <c r="AQ32" i="2" l="1"/>
  <c r="AQ27" i="2"/>
  <c r="AQ39" i="2"/>
  <c r="AR23" i="2" l="1"/>
  <c r="AR24" i="2" s="1"/>
  <c r="AR25" i="2" s="1"/>
  <c r="AR33" i="2" s="1"/>
  <c r="AR26" i="2" l="1"/>
  <c r="AR32" i="2" l="1"/>
  <c r="AR27" i="2"/>
  <c r="AR39" i="2"/>
  <c r="AS23" i="2" l="1"/>
  <c r="AS24" i="2" s="1"/>
  <c r="AS25" i="2" s="1"/>
  <c r="AS33" i="2" s="1"/>
  <c r="AS26" i="2" l="1"/>
  <c r="AS32" i="2" l="1"/>
  <c r="AS27" i="2"/>
  <c r="AS39" i="2"/>
  <c r="AT23" i="2" l="1"/>
  <c r="AT24" i="2" s="1"/>
  <c r="AT25" i="2" s="1"/>
  <c r="AT33" i="2" s="1"/>
  <c r="AT26" i="2" l="1"/>
  <c r="AT27" i="2" s="1"/>
  <c r="AT32" i="2" l="1"/>
  <c r="AT39" i="2"/>
  <c r="AU23" i="2" s="1"/>
  <c r="AU24" i="2" l="1"/>
  <c r="AU25" i="2" s="1"/>
  <c r="AU33" i="2" l="1"/>
  <c r="AU26" i="2" l="1"/>
  <c r="AU32" i="2" l="1"/>
  <c r="AU27" i="2"/>
  <c r="AU39" i="2"/>
  <c r="AV23" i="2" l="1"/>
  <c r="AV24" i="2" s="1"/>
  <c r="AV25" i="2" s="1"/>
  <c r="AV33" i="2" s="1"/>
  <c r="AV26" i="2" l="1"/>
  <c r="AV32" i="2" l="1"/>
  <c r="AV27" i="2"/>
  <c r="AV39" i="2"/>
  <c r="AW23" i="2" l="1"/>
  <c r="AW24" i="2" s="1"/>
  <c r="AW25" i="2" s="1"/>
  <c r="AW33" i="2" s="1"/>
  <c r="AW26" i="2" l="1"/>
  <c r="AW32" i="2" l="1"/>
  <c r="AW27" i="2"/>
  <c r="AW39" i="2"/>
  <c r="AX23" i="2" s="1"/>
  <c r="AX24" i="2" l="1"/>
  <c r="AX25" i="2" l="1"/>
  <c r="AX33" i="2" s="1"/>
  <c r="AX26" i="2" l="1"/>
  <c r="AX27" i="2" l="1"/>
  <c r="AY26" i="2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BA33" i="2" s="1"/>
  <c r="AX39" i="2"/>
  <c r="AX32" i="2"/>
  <c r="BA34" i="2" l="1"/>
  <c r="BA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  <author>Fidel</author>
  </authors>
  <commentList>
    <comment ref="W15" authorId="0" shapeId="0" xr:uid="{86827785-49C8-42C0-97B4-A404C0CE8D0E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$39.5-41.8 billion</t>
        </r>
      </text>
    </comment>
    <comment ref="X15" authorId="1" shapeId="0" xr:uid="{C4F3F5C2-76C9-4E4B-9C7D-73954282EC18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$42.5-45.5 billion</t>
        </r>
      </text>
    </comment>
    <comment ref="AO21" authorId="0" shapeId="0" xr:uid="{E591E616-5ED1-4E60-80F3-CA16F975117D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$113-118 billion
due to infrastructer cost</t>
        </r>
      </text>
    </comment>
    <comment ref="AO25" authorId="0" shapeId="0" xr:uid="{1FF462AD-5EB7-40D0-A9D7-1548F76EF63C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12-15%</t>
        </r>
      </text>
    </comment>
    <comment ref="AO81" authorId="0" shapeId="0" xr:uid="{B23BC222-D655-4F35-8898-BF5289575E64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$64-72 billion
due generative AI efforts</t>
        </r>
      </text>
    </comment>
  </commentList>
</comments>
</file>

<file path=xl/sharedStrings.xml><?xml version="1.0" encoding="utf-8"?>
<sst xmlns="http://schemas.openxmlformats.org/spreadsheetml/2006/main" count="164" uniqueCount="145">
  <si>
    <t>(META)</t>
  </si>
  <si>
    <t>(in millions)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</si>
  <si>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</si>
  <si>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</si>
  <si>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</si>
  <si>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</si>
  <si>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</si>
  <si>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</si>
  <si>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</si>
  <si>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</si>
  <si>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</si>
  <si>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</si>
  <si>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M&amp;S</t>
  </si>
  <si>
    <t>G&amp;A</t>
  </si>
  <si>
    <t>Operating expense</t>
  </si>
  <si>
    <t>Operating income</t>
  </si>
  <si>
    <t>Interest</t>
  </si>
  <si>
    <t>Pretax</t>
  </si>
  <si>
    <t>Taxes</t>
  </si>
  <si>
    <t>Net income</t>
  </si>
  <si>
    <t>EPS</t>
  </si>
  <si>
    <t>Gross margin</t>
  </si>
  <si>
    <t>Operating margin</t>
  </si>
  <si>
    <t>Tax rate</t>
  </si>
  <si>
    <t>Net margin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</si>
  <si>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</si>
  <si>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</si>
  <si>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</si>
  <si>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</si>
  <si>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</si>
  <si>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</si>
  <si>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</si>
  <si>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</si>
  <si>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</si>
  <si>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</si>
  <si>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</si>
  <si>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</si>
  <si>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</si>
  <si>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</si>
  <si>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Net cash</t>
  </si>
  <si>
    <t>L+S/E</t>
  </si>
  <si>
    <t>S/E</t>
  </si>
  <si>
    <t>Liabilities</t>
  </si>
  <si>
    <t>Assets</t>
  </si>
  <si>
    <t>A/P</t>
  </si>
  <si>
    <t>A/R</t>
  </si>
  <si>
    <t>Prepaid</t>
  </si>
  <si>
    <t>PP&amp;E</t>
  </si>
  <si>
    <t>Lease</t>
  </si>
  <si>
    <t>Goodwill</t>
  </si>
  <si>
    <t>Other</t>
  </si>
  <si>
    <t>Partners</t>
  </si>
  <si>
    <t>Accrued</t>
  </si>
  <si>
    <t>Model NI</t>
  </si>
  <si>
    <t>Reported NI</t>
  </si>
  <si>
    <t>Capex</t>
  </si>
  <si>
    <t>Investing</t>
  </si>
  <si>
    <t>Acquisition</t>
  </si>
  <si>
    <t>CFFI</t>
  </si>
  <si>
    <t>CFFO</t>
  </si>
  <si>
    <t>SBC taxes</t>
  </si>
  <si>
    <t>Buybacks</t>
  </si>
  <si>
    <t>CFFF</t>
  </si>
  <si>
    <t>FX</t>
  </si>
  <si>
    <t>CIC</t>
  </si>
  <si>
    <t>FCF</t>
  </si>
  <si>
    <t>FCF TTM</t>
  </si>
  <si>
    <t>Working capital</t>
  </si>
  <si>
    <t>D&amp;A</t>
  </si>
  <si>
    <t>SBC</t>
  </si>
  <si>
    <t>D/T</t>
  </si>
  <si>
    <t>Impairment</t>
  </si>
  <si>
    <t>OA</t>
  </si>
  <si>
    <t>Issuance debt</t>
  </si>
  <si>
    <t>Investments</t>
  </si>
  <si>
    <t>eCPM means "effective cost per thousands impression," is ad revenue generated per 1000 ad impressions</t>
  </si>
  <si>
    <t>An ad impression is counted whenever an ad is displayed within an app</t>
  </si>
  <si>
    <t>Advertising</t>
  </si>
  <si>
    <t>Other revenue</t>
  </si>
  <si>
    <t>Family of apps</t>
  </si>
  <si>
    <t>Reality labs</t>
  </si>
  <si>
    <t>Dividends</t>
  </si>
  <si>
    <t>Fee of debt</t>
  </si>
  <si>
    <t>eCPM = (total ad earnings/total impressions) x 1000</t>
  </si>
  <si>
    <t>ARPU</t>
  </si>
  <si>
    <t>Ad spending in the digital advertising market is projected to reach</t>
  </si>
  <si>
    <t>$298.4bn in 2024</t>
  </si>
  <si>
    <t>Q224</t>
  </si>
  <si>
    <t>Q324</t>
  </si>
  <si>
    <t>FCF-SBC</t>
  </si>
  <si>
    <t>FCF-SBC TTM</t>
  </si>
  <si>
    <t>NOPAT</t>
  </si>
  <si>
    <t>ROIC</t>
  </si>
  <si>
    <t>NI TTM</t>
  </si>
  <si>
    <t>Q120</t>
  </si>
  <si>
    <t>Q220</t>
  </si>
  <si>
    <t>Q320</t>
  </si>
  <si>
    <t>Q420</t>
  </si>
  <si>
    <t>DAUs</t>
  </si>
  <si>
    <t xml:space="preserve">Founded </t>
  </si>
  <si>
    <t>Mark Zuckerberg</t>
  </si>
  <si>
    <t>CEO</t>
  </si>
  <si>
    <t>CFO</t>
  </si>
  <si>
    <t>Susan Li</t>
  </si>
  <si>
    <t>CMO</t>
  </si>
  <si>
    <t>Alex Schultz</t>
  </si>
  <si>
    <t>COO</t>
  </si>
  <si>
    <t>Javier Olivan</t>
  </si>
  <si>
    <t>CTO</t>
  </si>
  <si>
    <t>Andrew Bosworth</t>
  </si>
  <si>
    <t>Mark Zuckerberg, Eduardo Saverin, Dustin Moskovitz, Andrew McCollum, Chris Hughes</t>
  </si>
  <si>
    <t>Founders</t>
  </si>
  <si>
    <t>The company owns and operates:</t>
  </si>
  <si>
    <t>Facebook</t>
  </si>
  <si>
    <t>Instagram</t>
  </si>
  <si>
    <t>Threads</t>
  </si>
  <si>
    <t>WhatsApp</t>
  </si>
  <si>
    <t>Advertising accounts for 97,8% of its revenue in 2023</t>
  </si>
  <si>
    <t>represented 1% of our worldwide MAUs</t>
  </si>
  <si>
    <t>User-misclassified accounts and undesirable accounts</t>
  </si>
  <si>
    <t>In 2016 "duplicate" accounts may have represented 6% of our worldwide MAUs</t>
  </si>
  <si>
    <t>Oculus</t>
  </si>
  <si>
    <t>y/y</t>
  </si>
  <si>
    <t>Employees</t>
  </si>
  <si>
    <t>Q424</t>
  </si>
  <si>
    <t>For 2018, we estimate that mobile advertising revenue represented approximately 92% of total advertising revenue</t>
  </si>
  <si>
    <t>Ad impressions y/y</t>
  </si>
  <si>
    <t>Avg price per ad y/y</t>
  </si>
  <si>
    <t>NPV</t>
  </si>
  <si>
    <t>Per share</t>
  </si>
  <si>
    <t>Current price</t>
  </si>
  <si>
    <t>Upside</t>
  </si>
  <si>
    <t>CAGR</t>
  </si>
  <si>
    <t>R&amp;D margin</t>
  </si>
  <si>
    <t>Q125</t>
  </si>
  <si>
    <t>Q225</t>
  </si>
  <si>
    <t>Q325</t>
  </si>
  <si>
    <t>Q425</t>
  </si>
  <si>
    <t>TTM NI</t>
  </si>
  <si>
    <t>Discount</t>
  </si>
  <si>
    <t>Terminal</t>
  </si>
  <si>
    <t>EV/FCF</t>
  </si>
  <si>
    <t>Main</t>
  </si>
  <si>
    <t>q/q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</si>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</sst>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7" formatCode="d/mm/yy;@"/>
  </numFmts>
  <fonts count="9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0" fontId="0" fillId="0" borderId="0" xfId="0" applyAlignment="1">
      <alignment horizontal="left" inden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2" borderId="0" xfId="0" applyNumberFormat="1" applyFill="1"/>
    <xf numFmtId="0" fontId="0" fillId="0" borderId="0" xfId="0" applyFont="1"/>
    <xf numFmtId="3" fontId="2" fillId="0" borderId="0" xfId="0" applyNumberFormat="1" applyFont="1" applyFill="1"/>
    <xf numFmtId="167" fontId="6" fillId="0" borderId="0" xfId="1" applyNumberFormat="1"/>
    <xf numFmtId="167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0</xdr:row>
      <xdr:rowOff>0</xdr:rowOff>
    </xdr:from>
    <xdr:to>
      <xdr:col>23</xdr:col>
      <xdr:colOff>38100</xdr:colOff>
      <xdr:row>108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D7A301-1F7B-87A3-F15F-8A719A8DB6BF}"/>
            </a:ext>
          </a:extLst>
        </xdr:cNvPr>
        <xdr:cNvCxnSpPr/>
      </xdr:nvCxnSpPr>
      <xdr:spPr>
        <a:xfrm>
          <a:off x="15506700" y="0"/>
          <a:ext cx="0" cy="17573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108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40FFBBA-7858-4BF0-9D7B-23A2583EEBB1}"/>
            </a:ext>
          </a:extLst>
        </xdr:cNvPr>
        <xdr:cNvCxnSpPr/>
      </xdr:nvCxnSpPr>
      <xdr:spPr>
        <a:xfrm>
          <a:off x="25555575" y="28575"/>
          <a:ext cx="0" cy="17773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B417-F4D6-4DC4-862A-C4F95C1F5AE3}">
  <dimension ref="A1:N38"/>
  <sheetViews>
    <sheetView tabSelected="1" topLeftCell="B1" workbookViewId="0">
      <selection activeCell="J20" sqref="J20"/>
    </sheetView>
  </sheetViews>
  <sheetFormatPr defaultRowHeight="12.75"/>
  <cols>
    <col min="1" max="1" width="13.7109375" bestFit="1" customWidth="1"/>
    <col min="2" max="2" width="5.42578125" bestFit="1" customWidth="1"/>
    <col min="3" max="3" width="9.28515625" customWidth="1"/>
    <col min="13" max="13" width="10" bestFit="1" customWidth="1"/>
  </cols>
  <sheetData>
    <row r="1" spans="1:14">
      <c r="A1" s="2" t="s">
        <v>0</v>
      </c>
      <c r="B1" s="17"/>
    </row>
    <row r="2" spans="1:14">
      <c r="A2" s="2" t="s">
        <v>1</v>
      </c>
      <c r="B2" s="2"/>
    </row>
    <row r="3" spans="1:14">
      <c r="C3" t="s">
        <v>112</v>
      </c>
      <c r="L3" t="s">
        <v>2</v>
      </c>
      <c r="M3" s="7">
        <v>581.66</v>
      </c>
    </row>
    <row r="4" spans="1:14">
      <c r="C4" t="s">
        <v>113</v>
      </c>
      <c r="L4" t="s">
        <v>3</v>
      </c>
      <c r="M4" s="1">
        <f>+Model!W28</f>
        <v>2590</v>
      </c>
      <c r="N4" s="3" t="s">
        <v>134</v>
      </c>
    </row>
    <row r="5" spans="1:14">
      <c r="C5" t="s">
        <v>114</v>
      </c>
      <c r="L5" t="s">
        <v>4</v>
      </c>
      <c r="M5" s="1">
        <f>+M3*M4</f>
        <v>1506499.4</v>
      </c>
      <c r="N5" s="3"/>
    </row>
    <row r="6" spans="1:14">
      <c r="C6" t="s">
        <v>115</v>
      </c>
      <c r="L6" t="s">
        <v>5</v>
      </c>
      <c r="M6" s="1">
        <f>+Model!W40</f>
        <v>70230</v>
      </c>
      <c r="N6" s="3" t="s">
        <v>134</v>
      </c>
    </row>
    <row r="7" spans="1:14">
      <c r="C7" t="s">
        <v>116</v>
      </c>
      <c r="L7" t="s">
        <v>6</v>
      </c>
      <c r="M7" s="1">
        <f>+Model!W52</f>
        <v>28829</v>
      </c>
      <c r="N7" s="3" t="s">
        <v>134</v>
      </c>
    </row>
    <row r="8" spans="1:14">
      <c r="C8" t="s">
        <v>121</v>
      </c>
      <c r="L8" t="s">
        <v>7</v>
      </c>
      <c r="M8" s="1">
        <f>+M5-M6+M7</f>
        <v>1465098.4</v>
      </c>
    </row>
    <row r="9" spans="1:14">
      <c r="L9" t="s">
        <v>138</v>
      </c>
      <c r="M9" s="1">
        <v>65433</v>
      </c>
    </row>
    <row r="10" spans="1:14">
      <c r="C10" t="s">
        <v>117</v>
      </c>
      <c r="M10" s="11">
        <f>+M8/M9</f>
        <v>22.390818088731983</v>
      </c>
    </row>
    <row r="12" spans="1:14">
      <c r="C12" t="s">
        <v>120</v>
      </c>
      <c r="L12" t="s">
        <v>99</v>
      </c>
      <c r="M12">
        <v>2004</v>
      </c>
    </row>
    <row r="13" spans="1:14">
      <c r="C13" t="s">
        <v>119</v>
      </c>
      <c r="L13" t="s">
        <v>111</v>
      </c>
      <c r="M13" t="s">
        <v>110</v>
      </c>
    </row>
    <row r="14" spans="1:14">
      <c r="C14" s="10" t="s">
        <v>118</v>
      </c>
      <c r="L14" t="s">
        <v>101</v>
      </c>
      <c r="M14" t="s">
        <v>100</v>
      </c>
    </row>
    <row r="15" spans="1:14">
      <c r="L15" t="s">
        <v>102</v>
      </c>
      <c r="M15" t="s">
        <v>103</v>
      </c>
    </row>
    <row r="16" spans="1:14">
      <c r="L16" t="s">
        <v>104</v>
      </c>
      <c r="M16" t="s">
        <v>105</v>
      </c>
    </row>
    <row r="17" spans="3:13">
      <c r="L17" t="s">
        <v>106</v>
      </c>
      <c r="M17" t="s">
        <v>107</v>
      </c>
    </row>
    <row r="18" spans="3:13">
      <c r="L18" t="s">
        <v>108</v>
      </c>
      <c r="M18" t="s">
        <v>109</v>
      </c>
    </row>
    <row r="22" spans="3:13">
      <c r="C22" t="s">
        <v>85</v>
      </c>
    </row>
    <row r="23" spans="3:13">
      <c r="C23" t="s">
        <v>86</v>
      </c>
    </row>
    <row r="25" spans="3:13">
      <c r="C25" s="13" t="s">
        <v>125</v>
      </c>
    </row>
    <row r="36" spans="3:3">
      <c r="C36" s="1" t="s">
        <v>75</v>
      </c>
    </row>
    <row r="37" spans="3:3">
      <c r="C37" s="1" t="s">
        <v>83</v>
      </c>
    </row>
    <row r="38" spans="3:3">
      <c r="C38" s="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35C1-B863-4350-A92A-7F0E11FBD1C2}">
  <dimension ref="A1:EU106"/>
  <sheetViews>
    <sheetView workbookViewId="0">
      <pane xSplit="2" ySplit="2" topLeftCell="P51" activePane="bottomRight" state="frozen"/>
      <selection pane="topRight" activeCell="B1" sqref="B1"/>
      <selection pane="bottomLeft" activeCell="A4" sqref="A4"/>
      <selection pane="bottomRight" activeCell="W60" sqref="W60"/>
    </sheetView>
  </sheetViews>
  <sheetFormatPr defaultRowHeight="12.75"/>
  <cols>
    <col min="1" max="1" width="5" style="1" bestFit="1" customWidth="1"/>
    <col min="2" max="2" width="17.5703125" style="1" bestFit="1" customWidth="1"/>
    <col min="3" max="6" width="10.140625" style="1" customWidth="1"/>
    <col min="7" max="10" width="9.140625" style="1"/>
    <col min="11" max="13" width="10.28515625" style="1" bestFit="1" customWidth="1"/>
    <col min="14" max="14" width="11" style="1" bestFit="1" customWidth="1"/>
    <col min="15" max="17" width="10.28515625" style="1" bestFit="1" customWidth="1"/>
    <col min="18" max="18" width="11" style="1" bestFit="1" customWidth="1"/>
    <col min="19" max="19" width="10.28515625" style="1" bestFit="1" customWidth="1"/>
    <col min="20" max="21" width="10" style="1" bestFit="1" customWidth="1"/>
    <col min="22" max="36" width="9.140625" style="1"/>
    <col min="37" max="40" width="9.28515625" style="1" bestFit="1" customWidth="1"/>
    <col min="41" max="51" width="9.140625" style="1"/>
    <col min="52" max="52" width="13.140625" style="1" bestFit="1" customWidth="1"/>
    <col min="53" max="57" width="9.140625" style="1"/>
    <col min="58" max="58" width="13.140625" style="1" bestFit="1" customWidth="1"/>
    <col min="59" max="16384" width="9.140625" style="1"/>
  </cols>
  <sheetData>
    <row r="1" spans="1:50" s="21" customFormat="1">
      <c r="A1" s="19" t="s">
        <v>142</v>
      </c>
      <c r="B1" s="20"/>
      <c r="C1" s="21">
        <v>45382</v>
      </c>
      <c r="D1" s="21">
        <v>45473</v>
      </c>
      <c r="E1" s="21">
        <v>45565</v>
      </c>
      <c r="F1" s="21">
        <v>45657</v>
      </c>
      <c r="G1" s="21">
        <v>45382</v>
      </c>
      <c r="H1" s="21">
        <v>45473</v>
      </c>
      <c r="I1" s="21">
        <v>45565</v>
      </c>
      <c r="J1" s="21">
        <v>45657</v>
      </c>
      <c r="K1" s="21">
        <v>44651</v>
      </c>
      <c r="L1" s="21">
        <v>44742</v>
      </c>
      <c r="M1" s="21">
        <v>44834</v>
      </c>
      <c r="N1" s="21">
        <v>44926</v>
      </c>
      <c r="O1" s="21">
        <v>45016</v>
      </c>
      <c r="P1" s="21">
        <v>45107</v>
      </c>
      <c r="Q1" s="21">
        <v>45199</v>
      </c>
      <c r="R1" s="21">
        <v>45291</v>
      </c>
      <c r="S1" s="21">
        <v>45382</v>
      </c>
      <c r="T1" s="21">
        <v>45473</v>
      </c>
      <c r="U1" s="21">
        <v>45565</v>
      </c>
      <c r="V1" s="21">
        <v>45657</v>
      </c>
      <c r="W1" s="21">
        <v>45747</v>
      </c>
      <c r="AD1" s="21">
        <v>45657</v>
      </c>
      <c r="AE1" s="21">
        <v>45657</v>
      </c>
      <c r="AF1" s="21">
        <v>45657</v>
      </c>
      <c r="AG1" s="21">
        <v>45657</v>
      </c>
      <c r="AH1" s="21">
        <v>45657</v>
      </c>
      <c r="AI1" s="21">
        <v>45657</v>
      </c>
      <c r="AJ1" s="21">
        <v>45657</v>
      </c>
      <c r="AK1" s="21">
        <v>45657</v>
      </c>
      <c r="AL1" s="21">
        <v>45657</v>
      </c>
      <c r="AM1" s="21">
        <v>45657</v>
      </c>
      <c r="AN1" s="21">
        <v>45657</v>
      </c>
    </row>
    <row r="2" spans="1:50" s="3" customFormat="1">
      <c r="B2" s="2"/>
      <c r="C2" s="3" t="s">
        <v>94</v>
      </c>
      <c r="D2" s="3" t="s">
        <v>95</v>
      </c>
      <c r="E2" s="3" t="s">
        <v>96</v>
      </c>
      <c r="F2" s="3" t="s">
        <v>97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87</v>
      </c>
      <c r="U2" s="3" t="s">
        <v>88</v>
      </c>
      <c r="V2" s="3" t="s">
        <v>124</v>
      </c>
      <c r="W2" s="3" t="s">
        <v>134</v>
      </c>
      <c r="X2" s="3" t="s">
        <v>135</v>
      </c>
      <c r="Y2" s="3" t="s">
        <v>136</v>
      </c>
      <c r="Z2" s="3" t="s">
        <v>137</v>
      </c>
      <c r="AD2" s="3">
        <v>2014</v>
      </c>
      <c r="AE2" s="3">
        <f>+AD2+1</f>
        <v>2015</v>
      </c>
      <c r="AF2" s="3">
        <f t="shared" ref="AF2:AI2" si="0">+AE2+1</f>
        <v>2016</v>
      </c>
      <c r="AG2" s="3">
        <f t="shared" si="0"/>
        <v>2017</v>
      </c>
      <c r="AH2" s="3">
        <f t="shared" si="0"/>
        <v>2018</v>
      </c>
      <c r="AI2" s="3">
        <f t="shared" si="0"/>
        <v>2019</v>
      </c>
      <c r="AJ2" s="3">
        <v>2020</v>
      </c>
      <c r="AK2" s="3">
        <v>2021</v>
      </c>
      <c r="AL2" s="3">
        <f>+AK2+1</f>
        <v>2022</v>
      </c>
      <c r="AM2" s="3">
        <f t="shared" ref="AM2:AN2" si="1">+AL2+1</f>
        <v>2023</v>
      </c>
      <c r="AN2" s="3">
        <f t="shared" si="1"/>
        <v>2024</v>
      </c>
      <c r="AO2" s="3">
        <f>+AN2+1</f>
        <v>2025</v>
      </c>
      <c r="AP2" s="3">
        <f t="shared" ref="AP2:AX2" si="2">+AO2+1</f>
        <v>2026</v>
      </c>
      <c r="AQ2" s="3">
        <f t="shared" si="2"/>
        <v>2027</v>
      </c>
      <c r="AR2" s="3">
        <f t="shared" si="2"/>
        <v>2028</v>
      </c>
      <c r="AS2" s="3">
        <f t="shared" si="2"/>
        <v>2029</v>
      </c>
      <c r="AT2" s="3">
        <f t="shared" si="2"/>
        <v>2030</v>
      </c>
      <c r="AU2" s="3">
        <f t="shared" si="2"/>
        <v>2031</v>
      </c>
      <c r="AV2" s="3">
        <f t="shared" si="2"/>
        <v>2032</v>
      </c>
      <c r="AW2" s="3">
        <f t="shared" si="2"/>
        <v>2033</v>
      </c>
      <c r="AX2" s="3">
        <f t="shared" si="2"/>
        <v>2034</v>
      </c>
    </row>
    <row r="3" spans="1:50" s="4" customFormat="1">
      <c r="B3" s="1" t="s">
        <v>98</v>
      </c>
      <c r="C3" s="4">
        <v>2360</v>
      </c>
      <c r="D3" s="4">
        <v>2470</v>
      </c>
      <c r="E3" s="4">
        <v>2540</v>
      </c>
      <c r="F3" s="4">
        <v>2600</v>
      </c>
      <c r="G3" s="4">
        <v>2720</v>
      </c>
      <c r="H3" s="4">
        <v>2760</v>
      </c>
      <c r="I3" s="4">
        <v>2810</v>
      </c>
      <c r="J3" s="4">
        <v>2820</v>
      </c>
      <c r="K3" s="1">
        <v>2870</v>
      </c>
      <c r="L3" s="1">
        <v>2880</v>
      </c>
      <c r="M3" s="1">
        <v>2930</v>
      </c>
      <c r="N3" s="1">
        <v>2960</v>
      </c>
      <c r="O3" s="1">
        <v>3020</v>
      </c>
      <c r="P3" s="1">
        <v>3070</v>
      </c>
      <c r="Q3" s="1">
        <v>3140</v>
      </c>
      <c r="R3" s="1">
        <v>3190</v>
      </c>
      <c r="S3" s="4">
        <v>3240</v>
      </c>
      <c r="T3" s="4">
        <v>3270</v>
      </c>
      <c r="U3" s="4">
        <v>3290</v>
      </c>
      <c r="V3" s="4">
        <f>+R3*1.05</f>
        <v>3349.5</v>
      </c>
      <c r="W3" s="4">
        <v>3430</v>
      </c>
      <c r="AJ3" s="4">
        <f>+AVERAGE(C3:F3)</f>
        <v>2492.5</v>
      </c>
      <c r="AK3" s="4">
        <f>+AVERAGE(G3:J3)</f>
        <v>2777.5</v>
      </c>
      <c r="AL3" s="4">
        <f>+AVERAGE(K3:N3)</f>
        <v>2910</v>
      </c>
      <c r="AM3" s="4">
        <f>+AVERAGE(O3:R3)</f>
        <v>3105</v>
      </c>
      <c r="AN3" s="4">
        <f>+AVERAGE(S3:V3)</f>
        <v>3287.375</v>
      </c>
    </row>
    <row r="4" spans="1:50" s="6" customFormat="1">
      <c r="B4" s="5" t="s">
        <v>122</v>
      </c>
      <c r="G4" s="6">
        <f>+G3/C3-1</f>
        <v>0.15254237288135597</v>
      </c>
      <c r="H4" s="6">
        <f t="shared" ref="H4:N4" si="3">+H3/D3-1</f>
        <v>0.1174089068825912</v>
      </c>
      <c r="I4" s="6">
        <f t="shared" si="3"/>
        <v>0.10629921259842523</v>
      </c>
      <c r="J4" s="6">
        <f t="shared" si="3"/>
        <v>8.4615384615384537E-2</v>
      </c>
      <c r="K4" s="6">
        <f t="shared" si="3"/>
        <v>5.5147058823529438E-2</v>
      </c>
      <c r="L4" s="6">
        <f t="shared" si="3"/>
        <v>4.3478260869565188E-2</v>
      </c>
      <c r="M4" s="6">
        <f t="shared" si="3"/>
        <v>4.2704626334519658E-2</v>
      </c>
      <c r="N4" s="6">
        <f t="shared" si="3"/>
        <v>4.9645390070921946E-2</v>
      </c>
      <c r="O4" s="6">
        <f t="shared" ref="O4:T4" si="4">+O3/K3-1</f>
        <v>5.2264808362369353E-2</v>
      </c>
      <c r="P4" s="6">
        <f t="shared" si="4"/>
        <v>6.5972222222222321E-2</v>
      </c>
      <c r="Q4" s="6">
        <f t="shared" si="4"/>
        <v>7.1672354948805417E-2</v>
      </c>
      <c r="R4" s="6">
        <f t="shared" si="4"/>
        <v>7.7702702702702631E-2</v>
      </c>
      <c r="S4" s="6">
        <f t="shared" si="4"/>
        <v>7.2847682119205226E-2</v>
      </c>
      <c r="T4" s="6">
        <f t="shared" si="4"/>
        <v>6.514657980456029E-2</v>
      </c>
      <c r="U4" s="6">
        <f>+U3/Q3-1</f>
        <v>4.7770700636942776E-2</v>
      </c>
      <c r="V4" s="6">
        <f>+V3/R3-1</f>
        <v>5.0000000000000044E-2</v>
      </c>
      <c r="W4" s="6">
        <f>+W3/S3-1</f>
        <v>5.8641975308642014E-2</v>
      </c>
      <c r="AK4" s="6">
        <f t="shared" ref="AK4:AL4" si="5">+AK3/AJ3-1</f>
        <v>0.11434302908726179</v>
      </c>
      <c r="AL4" s="6">
        <f t="shared" si="5"/>
        <v>4.7704770477047687E-2</v>
      </c>
      <c r="AM4" s="6">
        <f>+AM3/AL3-1</f>
        <v>6.7010309278350499E-2</v>
      </c>
      <c r="AN4" s="6">
        <f>+AN3/AM3-1</f>
        <v>5.8735909822866361E-2</v>
      </c>
    </row>
    <row r="5" spans="1:50" s="12" customFormat="1">
      <c r="B5" s="7" t="s">
        <v>84</v>
      </c>
      <c r="D5" s="12">
        <f t="shared" ref="D5:V5" si="6">+D13/AVERAGE(C3:D3)</f>
        <v>7.7378881987577639</v>
      </c>
      <c r="E5" s="12">
        <f t="shared" si="6"/>
        <v>8.5708582834331342</v>
      </c>
      <c r="F5" s="12">
        <f t="shared" si="6"/>
        <v>10.64396887159533</v>
      </c>
      <c r="G5" s="12">
        <f t="shared" si="6"/>
        <v>9.6379699248120296</v>
      </c>
      <c r="H5" s="12">
        <f t="shared" si="6"/>
        <v>10.500729927007299</v>
      </c>
      <c r="I5" s="12">
        <f t="shared" si="6"/>
        <v>10.216157989228007</v>
      </c>
      <c r="J5" s="12">
        <f t="shared" si="6"/>
        <v>11.649733570159858</v>
      </c>
      <c r="K5" s="12">
        <f t="shared" si="6"/>
        <v>9.5652021089630939</v>
      </c>
      <c r="L5" s="12">
        <f t="shared" si="6"/>
        <v>9.8678260869565211</v>
      </c>
      <c r="M5" s="12">
        <f t="shared" si="6"/>
        <v>9.4419965576592091</v>
      </c>
      <c r="N5" s="12">
        <f t="shared" si="6"/>
        <v>10.675042444821731</v>
      </c>
      <c r="O5" s="12">
        <f t="shared" si="6"/>
        <v>9.4668896321070228</v>
      </c>
      <c r="P5" s="12">
        <f t="shared" si="6"/>
        <v>10.418062397372742</v>
      </c>
      <c r="Q5" s="12">
        <f t="shared" si="6"/>
        <v>10.929468599033816</v>
      </c>
      <c r="R5" s="12">
        <f t="shared" si="6"/>
        <v>12.334913112164298</v>
      </c>
      <c r="S5" s="12">
        <f t="shared" si="6"/>
        <v>11.202177293934682</v>
      </c>
      <c r="T5" s="12">
        <f t="shared" si="6"/>
        <v>11.894930875576037</v>
      </c>
      <c r="U5" s="12">
        <f t="shared" si="6"/>
        <v>12.292378048780488</v>
      </c>
      <c r="V5" s="12">
        <f>+V13/AVERAGE(U3:V3)</f>
        <v>14.248964530461631</v>
      </c>
      <c r="W5" s="12">
        <f>+W13/AVERAGE(V3:W3)</f>
        <v>12.361383582860093</v>
      </c>
      <c r="AJ5" s="12">
        <f>+AJ13/AVERAGE(AI3:AJ3)</f>
        <v>34.202206619859581</v>
      </c>
      <c r="AK5" s="12">
        <f>+AK13/AVERAGE(AJ3:AK3)</f>
        <v>43.891840607210625</v>
      </c>
      <c r="AL5" s="12">
        <f>+AL13/AVERAGE(AK3:AL3)</f>
        <v>40.246153846153845</v>
      </c>
      <c r="AM5" s="12">
        <f>+AM13/AVERAGE(AL3:AM3)</f>
        <v>44.224438902743145</v>
      </c>
      <c r="AN5" s="12">
        <f>+AN13/AVERAGE(AM3:AN3)</f>
        <v>50.79645671600931</v>
      </c>
    </row>
    <row r="6" spans="1:50" s="6" customFormat="1">
      <c r="B6" s="5" t="s">
        <v>122</v>
      </c>
      <c r="H6" s="6">
        <f>+H5/D5-1</f>
        <v>0.35705371508121297</v>
      </c>
      <c r="I6" s="6">
        <f>+I5/E5-1</f>
        <v>0.19196440442553131</v>
      </c>
      <c r="J6" s="6">
        <f t="shared" ref="J6" si="7">+J5/F5-1</f>
        <v>9.4491510704106663E-2</v>
      </c>
      <c r="K6" s="6">
        <f t="shared" ref="K6" si="8">+K5/G5-1</f>
        <v>-7.5501185847863805E-3</v>
      </c>
      <c r="L6" s="6">
        <f t="shared" ref="L6" si="9">+L5/H5-1</f>
        <v>-6.0272366249796039E-2</v>
      </c>
      <c r="M6" s="6">
        <f t="shared" ref="M6" si="10">+M5/I5-1</f>
        <v>-7.5778138159676045E-2</v>
      </c>
      <c r="N6" s="6">
        <f t="shared" ref="N6" si="11">+N5/J5-1</f>
        <v>-8.3666387687590049E-2</v>
      </c>
      <c r="O6" s="6">
        <f t="shared" ref="O6:T6" si="12">+O5/K5-1</f>
        <v>-1.0278139001783093E-2</v>
      </c>
      <c r="P6" s="6">
        <f t="shared" si="12"/>
        <v>5.5760641256490384E-2</v>
      </c>
      <c r="Q6" s="6">
        <f t="shared" si="12"/>
        <v>0.15753787160280108</v>
      </c>
      <c r="R6" s="6">
        <f t="shared" si="12"/>
        <v>0.15549077916291942</v>
      </c>
      <c r="S6" s="6">
        <f t="shared" si="12"/>
        <v>0.18330071747561294</v>
      </c>
      <c r="T6" s="6">
        <f t="shared" si="12"/>
        <v>0.14176037941332886</v>
      </c>
      <c r="U6" s="6">
        <f>+U5/Q5-1</f>
        <v>0.1247004314434057</v>
      </c>
      <c r="V6" s="6">
        <f>+V5/R5-1</f>
        <v>0.15517348204177916</v>
      </c>
      <c r="W6" s="6">
        <f>+W5/S5-1</f>
        <v>0.10348044478398433</v>
      </c>
    </row>
    <row r="7" spans="1:50" s="3" customFormat="1">
      <c r="B7"/>
    </row>
    <row r="8" spans="1:50" s="5" customFormat="1">
      <c r="B8" s="1" t="s">
        <v>126</v>
      </c>
      <c r="O8" s="5">
        <v>0.26</v>
      </c>
      <c r="P8" s="5">
        <v>0.34</v>
      </c>
      <c r="Q8" s="5">
        <v>0.31</v>
      </c>
      <c r="R8" s="5">
        <v>0.21</v>
      </c>
      <c r="S8" s="5">
        <v>0.2</v>
      </c>
      <c r="T8" s="5">
        <v>0.1</v>
      </c>
      <c r="U8" s="5">
        <v>7.0000000000000007E-2</v>
      </c>
      <c r="V8" s="5">
        <v>0.06</v>
      </c>
      <c r="W8" s="5">
        <v>0.05</v>
      </c>
    </row>
    <row r="9" spans="1:50" s="5" customFormat="1">
      <c r="B9" s="1" t="s">
        <v>127</v>
      </c>
      <c r="O9" s="5">
        <v>-0.17</v>
      </c>
      <c r="P9" s="5">
        <v>-0.16</v>
      </c>
      <c r="Q9" s="5">
        <v>-0.06</v>
      </c>
      <c r="R9" s="5">
        <v>0.02</v>
      </c>
      <c r="S9" s="5">
        <v>0.06</v>
      </c>
      <c r="T9" s="5">
        <v>0.1</v>
      </c>
      <c r="U9" s="5">
        <v>0.11</v>
      </c>
      <c r="V9" s="5">
        <v>0.14000000000000001</v>
      </c>
      <c r="W9" s="5">
        <v>0.1</v>
      </c>
    </row>
    <row r="10" spans="1:50" s="5" customFormat="1"/>
    <row r="11" spans="1:50" s="4" customFormat="1">
      <c r="B11" s="1" t="s">
        <v>77</v>
      </c>
      <c r="C11" s="4">
        <v>17440</v>
      </c>
      <c r="D11" s="4">
        <v>18321</v>
      </c>
      <c r="E11" s="4">
        <v>21221</v>
      </c>
      <c r="F11" s="4">
        <f>84169-E11-D11-C11</f>
        <v>27187</v>
      </c>
      <c r="G11" s="4">
        <v>25439</v>
      </c>
      <c r="H11" s="4">
        <v>28580</v>
      </c>
      <c r="I11" s="4">
        <v>28276</v>
      </c>
      <c r="J11" s="4">
        <f>114934-I11-H11-G11</f>
        <v>32639</v>
      </c>
      <c r="K11" s="1">
        <v>26998</v>
      </c>
      <c r="L11" s="1">
        <v>28152</v>
      </c>
      <c r="M11" s="1">
        <v>27237</v>
      </c>
      <c r="N11" s="1">
        <v>31254</v>
      </c>
      <c r="O11" s="1">
        <v>28101</v>
      </c>
      <c r="P11" s="1">
        <v>31498</v>
      </c>
      <c r="Q11" s="1">
        <v>33643</v>
      </c>
      <c r="R11" s="1">
        <v>38706</v>
      </c>
      <c r="S11" s="1">
        <v>35635</v>
      </c>
      <c r="T11" s="4">
        <v>38329</v>
      </c>
      <c r="U11" s="4">
        <v>39885</v>
      </c>
      <c r="V11" s="4">
        <f>+AN11-SUM(S11:U11)</f>
        <v>46784</v>
      </c>
      <c r="W11" s="4">
        <v>41392</v>
      </c>
      <c r="AJ11" s="4">
        <f>+SUM(C11:F11)</f>
        <v>84169</v>
      </c>
      <c r="AK11" s="4">
        <f>+SUM(G11:J11)</f>
        <v>114934</v>
      </c>
      <c r="AL11" s="4">
        <f>+SUM(K11:N11)</f>
        <v>113641</v>
      </c>
      <c r="AM11" s="4">
        <f>+SUM(O11:R11)</f>
        <v>131948</v>
      </c>
      <c r="AN11" s="4">
        <v>160633</v>
      </c>
    </row>
    <row r="12" spans="1:50" s="3" customFormat="1">
      <c r="B12" t="s">
        <v>78</v>
      </c>
      <c r="C12" s="3">
        <v>297</v>
      </c>
      <c r="D12" s="3">
        <v>366</v>
      </c>
      <c r="E12" s="3">
        <v>249</v>
      </c>
      <c r="F12" s="3">
        <v>168</v>
      </c>
      <c r="G12" s="3">
        <v>198</v>
      </c>
      <c r="H12" s="3">
        <v>192</v>
      </c>
      <c r="I12" s="3">
        <v>176</v>
      </c>
      <c r="J12" s="3">
        <f>721-I12-H12-G12</f>
        <v>155</v>
      </c>
      <c r="K12" s="1">
        <v>215</v>
      </c>
      <c r="L12" s="1">
        <v>218</v>
      </c>
      <c r="M12" s="1">
        <v>192</v>
      </c>
      <c r="N12" s="1">
        <v>184</v>
      </c>
      <c r="O12" s="1">
        <v>205</v>
      </c>
      <c r="P12" s="1">
        <v>225</v>
      </c>
      <c r="Q12" s="1">
        <v>293</v>
      </c>
      <c r="R12" s="1">
        <v>334</v>
      </c>
      <c r="S12" s="1">
        <v>380</v>
      </c>
      <c r="T12" s="3">
        <v>389</v>
      </c>
      <c r="U12" s="3">
        <v>434</v>
      </c>
      <c r="V12" s="4">
        <f>+AN12-SUM(S12:U12)</f>
        <v>519</v>
      </c>
      <c r="W12" s="4">
        <v>510</v>
      </c>
      <c r="X12" s="4"/>
      <c r="Y12" s="4"/>
      <c r="Z12" s="4"/>
      <c r="AA12" s="4"/>
      <c r="AB12" s="4"/>
      <c r="AJ12" s="4">
        <f>+SUM(C12:F12)</f>
        <v>1080</v>
      </c>
      <c r="AK12" s="4">
        <f>+SUM(G12:J12)</f>
        <v>721</v>
      </c>
      <c r="AL12" s="4">
        <f>+SUM(K12:N12)</f>
        <v>809</v>
      </c>
      <c r="AM12" s="4">
        <f>+SUM(O12:R12)</f>
        <v>1057</v>
      </c>
      <c r="AN12" s="4">
        <v>1722</v>
      </c>
    </row>
    <row r="13" spans="1:50" s="3" customFormat="1">
      <c r="B13" t="s">
        <v>79</v>
      </c>
      <c r="C13" s="1">
        <f t="shared" ref="C13:K13" si="13">+C11+C12</f>
        <v>17737</v>
      </c>
      <c r="D13" s="1">
        <f t="shared" si="13"/>
        <v>18687</v>
      </c>
      <c r="E13" s="1">
        <f t="shared" si="13"/>
        <v>21470</v>
      </c>
      <c r="F13" s="1">
        <f t="shared" si="13"/>
        <v>27355</v>
      </c>
      <c r="G13" s="1">
        <f t="shared" si="13"/>
        <v>25637</v>
      </c>
      <c r="H13" s="1">
        <f t="shared" si="13"/>
        <v>28772</v>
      </c>
      <c r="I13" s="1">
        <f t="shared" si="13"/>
        <v>28452</v>
      </c>
      <c r="J13" s="1">
        <f t="shared" si="13"/>
        <v>32794</v>
      </c>
      <c r="K13" s="1">
        <f t="shared" si="13"/>
        <v>27213</v>
      </c>
      <c r="L13" s="1">
        <f t="shared" ref="L13:W13" si="14">+L11+L12</f>
        <v>28370</v>
      </c>
      <c r="M13" s="1">
        <f t="shared" si="14"/>
        <v>27429</v>
      </c>
      <c r="N13" s="1">
        <f t="shared" si="14"/>
        <v>31438</v>
      </c>
      <c r="O13" s="1">
        <f t="shared" si="14"/>
        <v>28306</v>
      </c>
      <c r="P13" s="1">
        <f t="shared" si="14"/>
        <v>31723</v>
      </c>
      <c r="Q13" s="1">
        <f t="shared" si="14"/>
        <v>33936</v>
      </c>
      <c r="R13" s="1">
        <f t="shared" si="14"/>
        <v>39040</v>
      </c>
      <c r="S13" s="1">
        <f t="shared" si="14"/>
        <v>36015</v>
      </c>
      <c r="T13" s="1">
        <f t="shared" si="14"/>
        <v>38718</v>
      </c>
      <c r="U13" s="1">
        <f t="shared" si="14"/>
        <v>40319</v>
      </c>
      <c r="V13" s="1">
        <f t="shared" si="14"/>
        <v>47303</v>
      </c>
      <c r="W13" s="1">
        <f t="shared" si="14"/>
        <v>41902</v>
      </c>
      <c r="X13" s="1"/>
      <c r="Y13" s="1"/>
      <c r="Z13" s="1"/>
      <c r="AA13" s="1"/>
      <c r="AB13" s="1"/>
      <c r="AJ13" s="4">
        <f t="shared" ref="AJ13:AK13" si="15">+SUM(AJ11:AJ12)</f>
        <v>85249</v>
      </c>
      <c r="AK13" s="4">
        <f t="shared" si="15"/>
        <v>115655</v>
      </c>
      <c r="AL13" s="4">
        <f>+SUM(AL11:AL12)</f>
        <v>114450</v>
      </c>
      <c r="AM13" s="4">
        <f>+SUM(AM11:AM12)</f>
        <v>133005</v>
      </c>
      <c r="AN13" s="4">
        <v>162355</v>
      </c>
    </row>
    <row r="14" spans="1:50" s="4" customFormat="1">
      <c r="B14" s="1" t="s">
        <v>80</v>
      </c>
      <c r="F14" s="4">
        <v>717</v>
      </c>
      <c r="G14" s="4">
        <v>534</v>
      </c>
      <c r="H14" s="4">
        <v>305</v>
      </c>
      <c r="I14" s="4">
        <v>558</v>
      </c>
      <c r="J14" s="4">
        <f>2274-I14-H14-G14</f>
        <v>877</v>
      </c>
      <c r="K14" s="1">
        <v>695</v>
      </c>
      <c r="L14" s="1">
        <v>452</v>
      </c>
      <c r="M14" s="1">
        <v>285</v>
      </c>
      <c r="N14" s="1">
        <v>727</v>
      </c>
      <c r="O14" s="1">
        <v>339</v>
      </c>
      <c r="P14" s="1">
        <v>276</v>
      </c>
      <c r="Q14" s="1">
        <v>210</v>
      </c>
      <c r="R14" s="1">
        <v>1071</v>
      </c>
      <c r="S14" s="1">
        <v>440</v>
      </c>
      <c r="T14" s="4">
        <v>353</v>
      </c>
      <c r="U14" s="4">
        <v>270</v>
      </c>
      <c r="V14" s="4">
        <f>+AN14-SUM(S14:U14)</f>
        <v>1083</v>
      </c>
      <c r="W14" s="4">
        <v>412</v>
      </c>
      <c r="AB14" s="14" t="s">
        <v>132</v>
      </c>
      <c r="AJ14" s="4">
        <f>+SUM(C14:F14)</f>
        <v>717</v>
      </c>
      <c r="AK14" s="4">
        <f>+SUM(G14:J14)</f>
        <v>2274</v>
      </c>
      <c r="AL14" s="4">
        <f>+SUM(K14:N14)</f>
        <v>2159</v>
      </c>
      <c r="AM14" s="4">
        <f>+SUM(O14:R14)</f>
        <v>1896</v>
      </c>
      <c r="AN14" s="4">
        <v>2146</v>
      </c>
    </row>
    <row r="15" spans="1:50" s="8" customFormat="1">
      <c r="B15" s="8" t="s">
        <v>8</v>
      </c>
      <c r="C15" s="8">
        <v>17737</v>
      </c>
      <c r="D15" s="8">
        <v>18687</v>
      </c>
      <c r="E15" s="8">
        <v>21470</v>
      </c>
      <c r="F15" s="8">
        <f t="shared" ref="F15:S15" si="16">+F14+F13</f>
        <v>28072</v>
      </c>
      <c r="G15" s="8">
        <f t="shared" si="16"/>
        <v>26171</v>
      </c>
      <c r="H15" s="8">
        <f t="shared" si="16"/>
        <v>29077</v>
      </c>
      <c r="I15" s="8">
        <f t="shared" si="16"/>
        <v>29010</v>
      </c>
      <c r="J15" s="8">
        <f t="shared" si="16"/>
        <v>33671</v>
      </c>
      <c r="K15" s="8">
        <f t="shared" si="16"/>
        <v>27908</v>
      </c>
      <c r="L15" s="8">
        <f t="shared" si="16"/>
        <v>28822</v>
      </c>
      <c r="M15" s="8">
        <f t="shared" si="16"/>
        <v>27714</v>
      </c>
      <c r="N15" s="8">
        <f t="shared" si="16"/>
        <v>32165</v>
      </c>
      <c r="O15" s="8">
        <f t="shared" si="16"/>
        <v>28645</v>
      </c>
      <c r="P15" s="8">
        <f t="shared" si="16"/>
        <v>31999</v>
      </c>
      <c r="Q15" s="8">
        <f t="shared" si="16"/>
        <v>34146</v>
      </c>
      <c r="R15" s="8">
        <f t="shared" si="16"/>
        <v>40111</v>
      </c>
      <c r="S15" s="8">
        <f t="shared" si="16"/>
        <v>36455</v>
      </c>
      <c r="T15" s="8">
        <f>+T14+T13</f>
        <v>39071</v>
      </c>
      <c r="U15" s="8">
        <f>+U14+U13</f>
        <v>40589</v>
      </c>
      <c r="V15" s="8">
        <f>+V14+V13</f>
        <v>48386</v>
      </c>
      <c r="W15" s="18">
        <v>42314</v>
      </c>
      <c r="AB15" s="15">
        <f>(AM15/AI15)^(1/5)-1</f>
        <v>0.13794910030482033</v>
      </c>
      <c r="AC15" s="15">
        <v>0.1</v>
      </c>
      <c r="AD15" s="8">
        <v>12466</v>
      </c>
      <c r="AE15" s="8">
        <v>17928</v>
      </c>
      <c r="AF15" s="8">
        <v>27638</v>
      </c>
      <c r="AG15" s="8">
        <v>40653</v>
      </c>
      <c r="AH15" s="8">
        <v>55838</v>
      </c>
      <c r="AI15" s="8">
        <v>70697</v>
      </c>
      <c r="AJ15" s="8">
        <f t="shared" ref="AJ15:AM15" si="17">+AJ13+AJ14</f>
        <v>85966</v>
      </c>
      <c r="AK15" s="8">
        <f t="shared" si="17"/>
        <v>117929</v>
      </c>
      <c r="AL15" s="8">
        <f t="shared" si="17"/>
        <v>116609</v>
      </c>
      <c r="AM15" s="8">
        <f t="shared" si="17"/>
        <v>134901</v>
      </c>
      <c r="AN15" s="8">
        <f>+AN13+AN14</f>
        <v>164501</v>
      </c>
      <c r="AO15" s="8">
        <f>+AN15*1.11</f>
        <v>182596.11000000002</v>
      </c>
      <c r="AP15" s="8">
        <f t="shared" ref="AP15:AX15" si="18">+AO15*1.11</f>
        <v>202681.68210000003</v>
      </c>
      <c r="AQ15" s="8">
        <f t="shared" si="18"/>
        <v>224976.66713100005</v>
      </c>
      <c r="AR15" s="8">
        <f t="shared" si="18"/>
        <v>249724.10051541007</v>
      </c>
      <c r="AS15" s="8">
        <f t="shared" si="18"/>
        <v>277193.75157210522</v>
      </c>
      <c r="AT15" s="8">
        <f t="shared" si="18"/>
        <v>307685.0642450368</v>
      </c>
      <c r="AU15" s="8">
        <f t="shared" si="18"/>
        <v>341530.42131199088</v>
      </c>
      <c r="AV15" s="8">
        <f t="shared" si="18"/>
        <v>379098.76765630994</v>
      </c>
      <c r="AW15" s="8">
        <f t="shared" si="18"/>
        <v>420799.63209850405</v>
      </c>
      <c r="AX15" s="8">
        <f t="shared" si="18"/>
        <v>467087.59162933956</v>
      </c>
    </row>
    <row r="16" spans="1:50">
      <c r="B16" s="1" t="s">
        <v>9</v>
      </c>
      <c r="C16" s="1">
        <v>3459</v>
      </c>
      <c r="D16" s="1">
        <v>3829</v>
      </c>
      <c r="E16" s="1">
        <v>4194</v>
      </c>
      <c r="F16" s="1">
        <f>+AJ16-SUM(C16:E16)</f>
        <v>5210</v>
      </c>
      <c r="G16" s="1">
        <v>5131</v>
      </c>
      <c r="H16" s="1">
        <v>5399</v>
      </c>
      <c r="I16" s="1">
        <v>5771</v>
      </c>
      <c r="J16" s="1">
        <f>+AK16-SUM(G16:I16)</f>
        <v>6348</v>
      </c>
      <c r="K16" s="1">
        <v>6005</v>
      </c>
      <c r="L16" s="1">
        <v>5192</v>
      </c>
      <c r="M16" s="1">
        <v>5716</v>
      </c>
      <c r="N16" s="1">
        <v>8336</v>
      </c>
      <c r="O16" s="1">
        <v>6108</v>
      </c>
      <c r="P16" s="1">
        <v>5945</v>
      </c>
      <c r="Q16" s="1">
        <v>6210</v>
      </c>
      <c r="R16" s="1">
        <v>7695</v>
      </c>
      <c r="S16" s="1">
        <v>6640</v>
      </c>
      <c r="T16" s="1">
        <v>7308</v>
      </c>
      <c r="U16" s="1">
        <v>7375</v>
      </c>
      <c r="V16" s="4">
        <f>+AN16-SUM(S16:U16)</f>
        <v>8838</v>
      </c>
      <c r="W16" s="4">
        <v>7572</v>
      </c>
      <c r="AB16" s="15">
        <f>(AM16/AI16)^(1/5)-1</f>
        <v>0.15244288831065722</v>
      </c>
      <c r="AC16" s="15">
        <v>0.11</v>
      </c>
      <c r="AD16" s="1">
        <v>2153</v>
      </c>
      <c r="AE16" s="1">
        <v>2867</v>
      </c>
      <c r="AF16" s="1">
        <v>3789</v>
      </c>
      <c r="AG16" s="1">
        <v>5454</v>
      </c>
      <c r="AH16" s="1">
        <v>9355</v>
      </c>
      <c r="AI16" s="1">
        <v>12770</v>
      </c>
      <c r="AJ16" s="1">
        <v>16692</v>
      </c>
      <c r="AK16" s="1">
        <v>22649</v>
      </c>
      <c r="AL16" s="1">
        <v>25249</v>
      </c>
      <c r="AM16" s="1">
        <v>25959</v>
      </c>
      <c r="AN16" s="1">
        <v>30161</v>
      </c>
      <c r="AO16" s="1">
        <f t="shared" ref="AO16:AX16" si="19">+AN16*1.09</f>
        <v>32875.490000000005</v>
      </c>
      <c r="AP16" s="1">
        <f t="shared" si="19"/>
        <v>35834.284100000012</v>
      </c>
      <c r="AQ16" s="1">
        <f t="shared" si="19"/>
        <v>39059.369669000014</v>
      </c>
      <c r="AR16" s="1">
        <f t="shared" si="19"/>
        <v>42574.712939210018</v>
      </c>
      <c r="AS16" s="1">
        <f t="shared" si="19"/>
        <v>46406.437103738921</v>
      </c>
      <c r="AT16" s="1">
        <f t="shared" si="19"/>
        <v>50583.01644307543</v>
      </c>
      <c r="AU16" s="1">
        <f t="shared" si="19"/>
        <v>55135.487922952227</v>
      </c>
      <c r="AV16" s="1">
        <f t="shared" si="19"/>
        <v>60097.681836017931</v>
      </c>
      <c r="AW16" s="1">
        <f t="shared" si="19"/>
        <v>65506.473201259549</v>
      </c>
      <c r="AX16" s="1">
        <f t="shared" si="19"/>
        <v>71402.055789372913</v>
      </c>
    </row>
    <row r="17" spans="2:151">
      <c r="B17" s="1" t="s">
        <v>10</v>
      </c>
      <c r="C17" s="1">
        <f t="shared" ref="C17:V17" si="20">+C15-C16</f>
        <v>14278</v>
      </c>
      <c r="D17" s="1">
        <f t="shared" si="20"/>
        <v>14858</v>
      </c>
      <c r="E17" s="1">
        <f t="shared" si="20"/>
        <v>17276</v>
      </c>
      <c r="F17" s="1">
        <f t="shared" si="20"/>
        <v>22862</v>
      </c>
      <c r="G17" s="1">
        <f t="shared" si="20"/>
        <v>21040</v>
      </c>
      <c r="H17" s="1">
        <f t="shared" si="20"/>
        <v>23678</v>
      </c>
      <c r="I17" s="1">
        <f t="shared" si="20"/>
        <v>23239</v>
      </c>
      <c r="J17" s="1">
        <f t="shared" si="20"/>
        <v>27323</v>
      </c>
      <c r="K17" s="1">
        <f t="shared" si="20"/>
        <v>21903</v>
      </c>
      <c r="L17" s="1">
        <f t="shared" si="20"/>
        <v>23630</v>
      </c>
      <c r="M17" s="1">
        <f t="shared" si="20"/>
        <v>21998</v>
      </c>
      <c r="N17" s="1">
        <f t="shared" si="20"/>
        <v>23829</v>
      </c>
      <c r="O17" s="1">
        <f t="shared" si="20"/>
        <v>22537</v>
      </c>
      <c r="P17" s="1">
        <f t="shared" si="20"/>
        <v>26054</v>
      </c>
      <c r="Q17" s="1">
        <f t="shared" si="20"/>
        <v>27936</v>
      </c>
      <c r="R17" s="1">
        <f t="shared" si="20"/>
        <v>32416</v>
      </c>
      <c r="S17" s="1">
        <f t="shared" si="20"/>
        <v>29815</v>
      </c>
      <c r="T17" s="1">
        <f t="shared" si="20"/>
        <v>31763</v>
      </c>
      <c r="U17" s="1">
        <f t="shared" si="20"/>
        <v>33214</v>
      </c>
      <c r="V17" s="1">
        <f t="shared" si="20"/>
        <v>39548</v>
      </c>
      <c r="W17" s="1">
        <f t="shared" ref="W17" si="21">+W15-W16</f>
        <v>34742</v>
      </c>
      <c r="AB17" s="15"/>
      <c r="AC17" s="15"/>
      <c r="AD17" s="1">
        <f t="shared" ref="AD17:AX17" si="22">+AD15-AD16</f>
        <v>10313</v>
      </c>
      <c r="AE17" s="1">
        <f t="shared" si="22"/>
        <v>15061</v>
      </c>
      <c r="AF17" s="1">
        <f t="shared" si="22"/>
        <v>23849</v>
      </c>
      <c r="AG17" s="1">
        <f t="shared" si="22"/>
        <v>35199</v>
      </c>
      <c r="AH17" s="1">
        <f t="shared" si="22"/>
        <v>46483</v>
      </c>
      <c r="AI17" s="1">
        <f t="shared" si="22"/>
        <v>57927</v>
      </c>
      <c r="AJ17" s="1">
        <f t="shared" si="22"/>
        <v>69274</v>
      </c>
      <c r="AK17" s="1">
        <f t="shared" si="22"/>
        <v>95280</v>
      </c>
      <c r="AL17" s="1">
        <f t="shared" si="22"/>
        <v>91360</v>
      </c>
      <c r="AM17" s="1">
        <f t="shared" si="22"/>
        <v>108942</v>
      </c>
      <c r="AN17" s="1">
        <f t="shared" si="22"/>
        <v>134340</v>
      </c>
      <c r="AO17" s="1">
        <f t="shared" si="22"/>
        <v>149720.62</v>
      </c>
      <c r="AP17" s="1">
        <f t="shared" si="22"/>
        <v>166847.39800000002</v>
      </c>
      <c r="AQ17" s="1">
        <f t="shared" si="22"/>
        <v>185917.29746200005</v>
      </c>
      <c r="AR17" s="1">
        <f t="shared" si="22"/>
        <v>207149.38757620007</v>
      </c>
      <c r="AS17" s="1">
        <f t="shared" si="22"/>
        <v>230787.3144683663</v>
      </c>
      <c r="AT17" s="1">
        <f t="shared" si="22"/>
        <v>257102.04780196137</v>
      </c>
      <c r="AU17" s="1">
        <f t="shared" si="22"/>
        <v>286394.93338903866</v>
      </c>
      <c r="AV17" s="1">
        <f t="shared" si="22"/>
        <v>319001.08582029201</v>
      </c>
      <c r="AW17" s="1">
        <f t="shared" si="22"/>
        <v>355293.15889724449</v>
      </c>
      <c r="AX17" s="1">
        <f t="shared" si="22"/>
        <v>395685.53583996661</v>
      </c>
    </row>
    <row r="18" spans="2:151">
      <c r="B18" s="1" t="s">
        <v>11</v>
      </c>
      <c r="C18" s="1">
        <v>4015</v>
      </c>
      <c r="D18" s="1">
        <v>4462</v>
      </c>
      <c r="E18" s="1">
        <v>4763</v>
      </c>
      <c r="F18" s="1">
        <f t="shared" ref="F18:F20" si="23">+AJ18-SUM(C18:E18)</f>
        <v>5207</v>
      </c>
      <c r="G18" s="1">
        <v>5197</v>
      </c>
      <c r="H18" s="1">
        <v>6096</v>
      </c>
      <c r="I18" s="1">
        <v>6316</v>
      </c>
      <c r="J18" s="1">
        <f t="shared" ref="J18:J20" si="24">+AK18-SUM(G18:I18)</f>
        <v>7046</v>
      </c>
      <c r="K18" s="1">
        <v>7707</v>
      </c>
      <c r="L18" s="1">
        <v>8690</v>
      </c>
      <c r="M18" s="1">
        <v>9170</v>
      </c>
      <c r="N18" s="1">
        <v>9771</v>
      </c>
      <c r="O18" s="1">
        <v>9381</v>
      </c>
      <c r="P18" s="1">
        <v>9344</v>
      </c>
      <c r="Q18" s="1">
        <v>9241</v>
      </c>
      <c r="R18" s="1">
        <v>10517</v>
      </c>
      <c r="S18" s="1">
        <v>9978</v>
      </c>
      <c r="T18" s="1">
        <v>10537</v>
      </c>
      <c r="U18" s="1">
        <v>11177</v>
      </c>
      <c r="V18" s="4">
        <f>+AN18-SUM(S18:U18)</f>
        <v>12181</v>
      </c>
      <c r="W18" s="4">
        <v>12150</v>
      </c>
      <c r="AB18" s="15">
        <f>(AM18/AI18)^(1/5)-1</f>
        <v>0.2312493166745957</v>
      </c>
      <c r="AC18" s="15">
        <v>0.2</v>
      </c>
      <c r="AD18" s="1">
        <v>2666</v>
      </c>
      <c r="AE18" s="1">
        <v>4816</v>
      </c>
      <c r="AF18" s="1">
        <v>5919</v>
      </c>
      <c r="AG18" s="1">
        <v>7754</v>
      </c>
      <c r="AH18" s="1">
        <v>10273</v>
      </c>
      <c r="AI18" s="1">
        <v>13600</v>
      </c>
      <c r="AJ18" s="1">
        <v>18447</v>
      </c>
      <c r="AK18" s="1">
        <v>24655</v>
      </c>
      <c r="AL18" s="1">
        <v>35338</v>
      </c>
      <c r="AM18" s="1">
        <v>38483</v>
      </c>
      <c r="AN18" s="1">
        <v>43873</v>
      </c>
      <c r="AO18" s="1">
        <f t="shared" ref="AO18:AR18" si="25">+AN18*1.2</f>
        <v>52647.6</v>
      </c>
      <c r="AP18" s="1">
        <f t="shared" si="25"/>
        <v>63177.119999999995</v>
      </c>
      <c r="AQ18" s="1">
        <f t="shared" si="25"/>
        <v>75812.543999999994</v>
      </c>
      <c r="AR18" s="1">
        <f t="shared" si="25"/>
        <v>90975.05279999999</v>
      </c>
      <c r="AS18" s="1">
        <f t="shared" ref="AS18:AW18" si="26">+AR18*1.15</f>
        <v>104621.31071999998</v>
      </c>
      <c r="AT18" s="1">
        <f t="shared" si="26"/>
        <v>120314.50732799996</v>
      </c>
      <c r="AU18" s="1">
        <f t="shared" si="26"/>
        <v>138361.68342719995</v>
      </c>
      <c r="AV18" s="1">
        <f t="shared" si="26"/>
        <v>159115.93594127992</v>
      </c>
      <c r="AW18" s="1">
        <f t="shared" si="26"/>
        <v>182983.32633247189</v>
      </c>
      <c r="AX18" s="1">
        <f>+AW18*1.1</f>
        <v>201281.65896571908</v>
      </c>
    </row>
    <row r="19" spans="2:151">
      <c r="B19" s="1" t="s">
        <v>12</v>
      </c>
      <c r="C19" s="1">
        <v>2787</v>
      </c>
      <c r="D19" s="1">
        <v>2840</v>
      </c>
      <c r="E19" s="1">
        <v>2683</v>
      </c>
      <c r="F19" s="1">
        <f t="shared" si="23"/>
        <v>3281</v>
      </c>
      <c r="G19" s="1">
        <v>2843</v>
      </c>
      <c r="H19" s="1">
        <v>3259</v>
      </c>
      <c r="I19" s="1">
        <v>3554</v>
      </c>
      <c r="J19" s="1">
        <f t="shared" si="24"/>
        <v>4387</v>
      </c>
      <c r="K19" s="1">
        <v>3312</v>
      </c>
      <c r="L19" s="1">
        <v>3595</v>
      </c>
      <c r="M19" s="1">
        <v>3780</v>
      </c>
      <c r="N19" s="1">
        <v>4574</v>
      </c>
      <c r="O19" s="1">
        <v>3044</v>
      </c>
      <c r="P19" s="1">
        <v>3154</v>
      </c>
      <c r="Q19" s="1">
        <v>2877</v>
      </c>
      <c r="R19" s="1">
        <v>3226</v>
      </c>
      <c r="S19" s="1">
        <v>2564</v>
      </c>
      <c r="T19" s="1">
        <v>2721</v>
      </c>
      <c r="U19" s="1">
        <v>2822</v>
      </c>
      <c r="V19" s="4">
        <f>+AN19-SUM(S19:U19)</f>
        <v>3240</v>
      </c>
      <c r="W19" s="4">
        <v>2757</v>
      </c>
      <c r="AB19" s="15">
        <f>(AM19/AI19)^(1/5)-1</f>
        <v>4.4893114782463828E-2</v>
      </c>
      <c r="AC19" s="15">
        <v>0.05</v>
      </c>
      <c r="AD19" s="1">
        <v>1680</v>
      </c>
      <c r="AE19" s="1">
        <v>2725</v>
      </c>
      <c r="AF19" s="1">
        <v>3772</v>
      </c>
      <c r="AG19" s="1">
        <v>4725</v>
      </c>
      <c r="AH19" s="1">
        <v>7846</v>
      </c>
      <c r="AI19" s="1">
        <v>9876</v>
      </c>
      <c r="AJ19" s="1">
        <v>11591</v>
      </c>
      <c r="AK19" s="1">
        <v>14043</v>
      </c>
      <c r="AL19" s="1">
        <v>15262</v>
      </c>
      <c r="AM19" s="1">
        <v>12301</v>
      </c>
      <c r="AN19" s="1">
        <v>11347</v>
      </c>
      <c r="AO19" s="1">
        <f t="shared" ref="AO19:AX19" si="27">+AN19*1.04</f>
        <v>11800.880000000001</v>
      </c>
      <c r="AP19" s="1">
        <f t="shared" si="27"/>
        <v>12272.915200000001</v>
      </c>
      <c r="AQ19" s="1">
        <f t="shared" si="27"/>
        <v>12763.831808000003</v>
      </c>
      <c r="AR19" s="1">
        <f t="shared" si="27"/>
        <v>13274.385080320004</v>
      </c>
      <c r="AS19" s="1">
        <f t="shared" si="27"/>
        <v>13805.360483532804</v>
      </c>
      <c r="AT19" s="1">
        <f t="shared" si="27"/>
        <v>14357.574902874117</v>
      </c>
      <c r="AU19" s="1">
        <f t="shared" si="27"/>
        <v>14931.877898989083</v>
      </c>
      <c r="AV19" s="1">
        <f t="shared" si="27"/>
        <v>15529.153014948648</v>
      </c>
      <c r="AW19" s="1">
        <f t="shared" si="27"/>
        <v>16150.319135546595</v>
      </c>
      <c r="AX19" s="1">
        <f t="shared" si="27"/>
        <v>16796.33190096846</v>
      </c>
    </row>
    <row r="20" spans="2:151">
      <c r="B20" s="1" t="s">
        <v>13</v>
      </c>
      <c r="C20" s="1">
        <v>1583</v>
      </c>
      <c r="D20" s="1">
        <v>1593</v>
      </c>
      <c r="E20" s="1">
        <v>1790</v>
      </c>
      <c r="F20" s="1">
        <f t="shared" si="23"/>
        <v>1598</v>
      </c>
      <c r="G20" s="1">
        <v>1622</v>
      </c>
      <c r="H20" s="1">
        <v>1956</v>
      </c>
      <c r="I20" s="1">
        <v>2946</v>
      </c>
      <c r="J20" s="1">
        <f t="shared" si="24"/>
        <v>3305</v>
      </c>
      <c r="K20" s="1">
        <v>2360</v>
      </c>
      <c r="L20" s="1">
        <v>2987</v>
      </c>
      <c r="M20" s="1">
        <v>3384</v>
      </c>
      <c r="N20" s="1">
        <v>3085</v>
      </c>
      <c r="O20" s="1">
        <v>2885</v>
      </c>
      <c r="P20" s="1">
        <v>4164</v>
      </c>
      <c r="Q20" s="1">
        <v>2070</v>
      </c>
      <c r="R20" s="1">
        <v>2289</v>
      </c>
      <c r="S20" s="1">
        <v>3455</v>
      </c>
      <c r="T20" s="1">
        <v>3658</v>
      </c>
      <c r="U20" s="1">
        <v>1865</v>
      </c>
      <c r="V20" s="4">
        <f>+AN20-SUM(S20:U20)</f>
        <v>762</v>
      </c>
      <c r="W20" s="4">
        <v>2280</v>
      </c>
      <c r="AB20" s="15">
        <f>(AM20/AI20)^(1/5)-1</f>
        <v>1.740544122059795E-2</v>
      </c>
      <c r="AC20" s="15">
        <v>0.05</v>
      </c>
      <c r="AD20" s="1">
        <v>973</v>
      </c>
      <c r="AE20" s="1">
        <v>1295</v>
      </c>
      <c r="AF20" s="1">
        <v>1731</v>
      </c>
      <c r="AG20" s="1">
        <v>2517</v>
      </c>
      <c r="AH20" s="1">
        <v>3451</v>
      </c>
      <c r="AI20" s="1">
        <v>10465</v>
      </c>
      <c r="AJ20" s="1">
        <v>6564</v>
      </c>
      <c r="AK20" s="1">
        <v>9829</v>
      </c>
      <c r="AL20" s="1">
        <v>11816</v>
      </c>
      <c r="AM20" s="1">
        <v>11408</v>
      </c>
      <c r="AN20" s="1">
        <v>9740</v>
      </c>
      <c r="AO20" s="1">
        <f t="shared" ref="AO20:AX20" si="28">+AN20*1.02</f>
        <v>9934.7999999999993</v>
      </c>
      <c r="AP20" s="1">
        <f t="shared" si="28"/>
        <v>10133.495999999999</v>
      </c>
      <c r="AQ20" s="1">
        <f t="shared" si="28"/>
        <v>10336.165919999999</v>
      </c>
      <c r="AR20" s="1">
        <f t="shared" si="28"/>
        <v>10542.889238399999</v>
      </c>
      <c r="AS20" s="1">
        <f t="shared" si="28"/>
        <v>10753.747023168</v>
      </c>
      <c r="AT20" s="1">
        <f t="shared" si="28"/>
        <v>10968.821963631361</v>
      </c>
      <c r="AU20" s="1">
        <f t="shared" si="28"/>
        <v>11188.198402903989</v>
      </c>
      <c r="AV20" s="1">
        <f t="shared" si="28"/>
        <v>11411.962370962068</v>
      </c>
      <c r="AW20" s="1">
        <f t="shared" si="28"/>
        <v>11640.20161838131</v>
      </c>
      <c r="AX20" s="1">
        <f t="shared" si="28"/>
        <v>11873.005650748937</v>
      </c>
    </row>
    <row r="21" spans="2:151">
      <c r="B21" s="1" t="s">
        <v>14</v>
      </c>
      <c r="C21" s="1">
        <f t="shared" ref="C21:E21" si="29">+SUM(C18:C20)</f>
        <v>8385</v>
      </c>
      <c r="D21" s="1">
        <f t="shared" si="29"/>
        <v>8895</v>
      </c>
      <c r="E21" s="1">
        <f t="shared" si="29"/>
        <v>9236</v>
      </c>
      <c r="F21" s="1">
        <f t="shared" ref="F21" si="30">+SUM(F18:F20)</f>
        <v>10086</v>
      </c>
      <c r="G21" s="1">
        <f t="shared" ref="G21:I21" si="31">+SUM(G18:G20)</f>
        <v>9662</v>
      </c>
      <c r="H21" s="1">
        <f t="shared" si="31"/>
        <v>11311</v>
      </c>
      <c r="I21" s="1">
        <f t="shared" si="31"/>
        <v>12816</v>
      </c>
      <c r="J21" s="1">
        <f t="shared" ref="J21" si="32">+SUM(J18:J20)</f>
        <v>14738</v>
      </c>
      <c r="K21" s="1">
        <f t="shared" ref="K21:S21" si="33">+SUM(K18:K20)</f>
        <v>13379</v>
      </c>
      <c r="L21" s="1">
        <f t="shared" si="33"/>
        <v>15272</v>
      </c>
      <c r="M21" s="1">
        <f t="shared" si="33"/>
        <v>16334</v>
      </c>
      <c r="N21" s="1">
        <f t="shared" si="33"/>
        <v>17430</v>
      </c>
      <c r="O21" s="1">
        <f t="shared" si="33"/>
        <v>15310</v>
      </c>
      <c r="P21" s="1">
        <f t="shared" si="33"/>
        <v>16662</v>
      </c>
      <c r="Q21" s="1">
        <f t="shared" si="33"/>
        <v>14188</v>
      </c>
      <c r="R21" s="1">
        <f t="shared" si="33"/>
        <v>16032</v>
      </c>
      <c r="S21" s="1">
        <f t="shared" si="33"/>
        <v>15997</v>
      </c>
      <c r="T21" s="1">
        <f t="shared" ref="T21:U21" si="34">+SUM(T18:T20)</f>
        <v>16916</v>
      </c>
      <c r="U21" s="1">
        <f t="shared" si="34"/>
        <v>15864</v>
      </c>
      <c r="V21" s="1">
        <f t="shared" ref="V21:W21" si="35">+SUM(V18:V20)</f>
        <v>16183</v>
      </c>
      <c r="W21" s="1">
        <f t="shared" si="35"/>
        <v>17187</v>
      </c>
      <c r="AB21" s="15"/>
      <c r="AC21" s="15"/>
      <c r="AD21" s="1">
        <f t="shared" ref="AD21:AJ21" si="36">+SUM(AD18:AD20)</f>
        <v>5319</v>
      </c>
      <c r="AE21" s="1">
        <f t="shared" si="36"/>
        <v>8836</v>
      </c>
      <c r="AF21" s="1">
        <f t="shared" si="36"/>
        <v>11422</v>
      </c>
      <c r="AG21" s="1">
        <f t="shared" si="36"/>
        <v>14996</v>
      </c>
      <c r="AH21" s="1">
        <f t="shared" si="36"/>
        <v>21570</v>
      </c>
      <c r="AI21" s="1">
        <f t="shared" si="36"/>
        <v>33941</v>
      </c>
      <c r="AJ21" s="1">
        <f t="shared" si="36"/>
        <v>36602</v>
      </c>
      <c r="AK21" s="1">
        <f>+SUM(AK18:AK20)</f>
        <v>48527</v>
      </c>
      <c r="AL21" s="1">
        <f>+SUM(AL18:AL20)</f>
        <v>62416</v>
      </c>
      <c r="AM21" s="1">
        <f>+SUM(AM18:AM20)</f>
        <v>62192</v>
      </c>
      <c r="AN21" s="1">
        <f t="shared" ref="AN21:AX21" si="37">+SUM(AN18:AN20)</f>
        <v>64960</v>
      </c>
      <c r="AO21" s="16">
        <f t="shared" si="37"/>
        <v>74383.28</v>
      </c>
      <c r="AP21" s="1">
        <f t="shared" si="37"/>
        <v>85583.531199999998</v>
      </c>
      <c r="AQ21" s="1">
        <f t="shared" si="37"/>
        <v>98912.541727999997</v>
      </c>
      <c r="AR21" s="1">
        <f t="shared" si="37"/>
        <v>114792.32711871999</v>
      </c>
      <c r="AS21" s="1">
        <f t="shared" si="37"/>
        <v>129180.41822670079</v>
      </c>
      <c r="AT21" s="1">
        <f t="shared" si="37"/>
        <v>145640.90419450545</v>
      </c>
      <c r="AU21" s="1">
        <f t="shared" si="37"/>
        <v>164481.759729093</v>
      </c>
      <c r="AV21" s="1">
        <f>+SUM(AV18:AV20)</f>
        <v>186057.05132719065</v>
      </c>
      <c r="AW21" s="1">
        <f t="shared" si="37"/>
        <v>210773.84708639979</v>
      </c>
      <c r="AX21" s="1">
        <f t="shared" si="37"/>
        <v>229950.99651743646</v>
      </c>
    </row>
    <row r="22" spans="2:151">
      <c r="B22" s="1" t="s">
        <v>15</v>
      </c>
      <c r="C22" s="1">
        <f t="shared" ref="C22:E22" si="38">+C17-C21</f>
        <v>5893</v>
      </c>
      <c r="D22" s="1">
        <f t="shared" si="38"/>
        <v>5963</v>
      </c>
      <c r="E22" s="1">
        <f t="shared" si="38"/>
        <v>8040</v>
      </c>
      <c r="F22" s="1">
        <f t="shared" ref="F22" si="39">+F17-F21</f>
        <v>12776</v>
      </c>
      <c r="G22" s="1">
        <f t="shared" ref="G22:I22" si="40">+G17-G21</f>
        <v>11378</v>
      </c>
      <c r="H22" s="1">
        <f t="shared" si="40"/>
        <v>12367</v>
      </c>
      <c r="I22" s="1">
        <f t="shared" si="40"/>
        <v>10423</v>
      </c>
      <c r="J22" s="1">
        <f t="shared" ref="J22" si="41">+J17-J21</f>
        <v>12585</v>
      </c>
      <c r="K22" s="1">
        <f t="shared" ref="K22:S22" si="42">+K17-K21</f>
        <v>8524</v>
      </c>
      <c r="L22" s="1">
        <f t="shared" si="42"/>
        <v>8358</v>
      </c>
      <c r="M22" s="1">
        <f t="shared" si="42"/>
        <v>5664</v>
      </c>
      <c r="N22" s="1">
        <f t="shared" si="42"/>
        <v>6399</v>
      </c>
      <c r="O22" s="1">
        <f t="shared" si="42"/>
        <v>7227</v>
      </c>
      <c r="P22" s="1">
        <f t="shared" si="42"/>
        <v>9392</v>
      </c>
      <c r="Q22" s="1">
        <f t="shared" si="42"/>
        <v>13748</v>
      </c>
      <c r="R22" s="1">
        <f t="shared" si="42"/>
        <v>16384</v>
      </c>
      <c r="S22" s="1">
        <f t="shared" si="42"/>
        <v>13818</v>
      </c>
      <c r="T22" s="1">
        <f t="shared" ref="T22:U22" si="43">+T17-T21</f>
        <v>14847</v>
      </c>
      <c r="U22" s="1">
        <f t="shared" si="43"/>
        <v>17350</v>
      </c>
      <c r="V22" s="1">
        <f t="shared" ref="V22:W22" si="44">+V17-V21</f>
        <v>23365</v>
      </c>
      <c r="W22" s="1">
        <f t="shared" si="44"/>
        <v>17555</v>
      </c>
      <c r="AB22" s="15"/>
      <c r="AC22" s="15"/>
      <c r="AD22" s="1">
        <f t="shared" ref="AD22:AX22" si="45">+AD17-AD21</f>
        <v>4994</v>
      </c>
      <c r="AE22" s="1">
        <f t="shared" si="45"/>
        <v>6225</v>
      </c>
      <c r="AF22" s="1">
        <f t="shared" si="45"/>
        <v>12427</v>
      </c>
      <c r="AG22" s="1">
        <f t="shared" si="45"/>
        <v>20203</v>
      </c>
      <c r="AH22" s="1">
        <f t="shared" si="45"/>
        <v>24913</v>
      </c>
      <c r="AI22" s="1">
        <f t="shared" si="45"/>
        <v>23986</v>
      </c>
      <c r="AJ22" s="1">
        <f t="shared" si="45"/>
        <v>32672</v>
      </c>
      <c r="AK22" s="1">
        <f t="shared" si="45"/>
        <v>46753</v>
      </c>
      <c r="AL22" s="1">
        <f t="shared" si="45"/>
        <v>28944</v>
      </c>
      <c r="AM22" s="1">
        <f t="shared" si="45"/>
        <v>46750</v>
      </c>
      <c r="AN22" s="1">
        <f t="shared" si="45"/>
        <v>69380</v>
      </c>
      <c r="AO22" s="1">
        <f t="shared" si="45"/>
        <v>75337.34</v>
      </c>
      <c r="AP22" s="1">
        <f t="shared" si="45"/>
        <v>81263.866800000018</v>
      </c>
      <c r="AQ22" s="1">
        <f t="shared" si="45"/>
        <v>87004.755734000049</v>
      </c>
      <c r="AR22" s="1">
        <f t="shared" si="45"/>
        <v>92357.060457480082</v>
      </c>
      <c r="AS22" s="1">
        <f t="shared" si="45"/>
        <v>101606.89624166551</v>
      </c>
      <c r="AT22" s="1">
        <f t="shared" si="45"/>
        <v>111461.14360745592</v>
      </c>
      <c r="AU22" s="1">
        <f t="shared" si="45"/>
        <v>121913.17365994566</v>
      </c>
      <c r="AV22" s="1">
        <f t="shared" si="45"/>
        <v>132944.03449310135</v>
      </c>
      <c r="AW22" s="1">
        <f t="shared" si="45"/>
        <v>144519.31181084469</v>
      </c>
      <c r="AX22" s="1">
        <f t="shared" si="45"/>
        <v>165734.53932253015</v>
      </c>
    </row>
    <row r="23" spans="2:151">
      <c r="B23" s="1" t="s">
        <v>16</v>
      </c>
      <c r="C23" s="1">
        <v>-32</v>
      </c>
      <c r="D23" s="1">
        <v>168</v>
      </c>
      <c r="E23" s="1">
        <v>93</v>
      </c>
      <c r="F23" s="1">
        <f t="shared" ref="F23:F25" si="46">+AJ23-SUM(C23:E23)</f>
        <v>280</v>
      </c>
      <c r="G23" s="1">
        <v>125</v>
      </c>
      <c r="H23" s="1">
        <v>146</v>
      </c>
      <c r="I23" s="1">
        <v>142</v>
      </c>
      <c r="J23" s="1">
        <f t="shared" ref="J23:J25" si="47">+AK23-SUM(G23:I23)</f>
        <v>118</v>
      </c>
      <c r="K23" s="1">
        <v>384</v>
      </c>
      <c r="L23" s="1">
        <v>-172</v>
      </c>
      <c r="M23" s="1">
        <v>-88</v>
      </c>
      <c r="N23" s="1">
        <v>-250</v>
      </c>
      <c r="O23" s="1">
        <v>80</v>
      </c>
      <c r="P23" s="1">
        <v>-99</v>
      </c>
      <c r="Q23" s="1">
        <v>272</v>
      </c>
      <c r="R23" s="1">
        <v>424</v>
      </c>
      <c r="S23" s="1">
        <v>365</v>
      </c>
      <c r="T23" s="1">
        <v>259</v>
      </c>
      <c r="U23" s="1">
        <v>472</v>
      </c>
      <c r="V23" s="4">
        <f>+AN23-SUM(S23:U23)</f>
        <v>187</v>
      </c>
      <c r="W23" s="4">
        <v>827</v>
      </c>
      <c r="AB23" s="15"/>
      <c r="AC23" s="15"/>
      <c r="AD23" s="1">
        <v>-84</v>
      </c>
      <c r="AE23" s="1">
        <v>-31</v>
      </c>
      <c r="AF23" s="1">
        <v>91</v>
      </c>
      <c r="AG23" s="1">
        <v>391</v>
      </c>
      <c r="AH23" s="1">
        <v>448</v>
      </c>
      <c r="AI23" s="1">
        <v>826</v>
      </c>
      <c r="AJ23" s="1">
        <v>509</v>
      </c>
      <c r="AK23" s="1">
        <v>531</v>
      </c>
      <c r="AL23" s="1">
        <v>-125</v>
      </c>
      <c r="AM23" s="1">
        <v>677</v>
      </c>
      <c r="AN23" s="1">
        <v>1283</v>
      </c>
      <c r="AO23" s="1">
        <f t="shared" ref="AO23:AX23" si="48">+AN39*0.04</f>
        <v>1959.56</v>
      </c>
      <c r="AP23" s="1">
        <f t="shared" si="48"/>
        <v>4433.0607999999993</v>
      </c>
      <c r="AQ23" s="1">
        <f t="shared" si="48"/>
        <v>7175.3624832000005</v>
      </c>
      <c r="AR23" s="1">
        <f t="shared" si="48"/>
        <v>10189.126266150402</v>
      </c>
      <c r="AS23" s="1">
        <f t="shared" si="48"/>
        <v>13470.604241306577</v>
      </c>
      <c r="AT23" s="1">
        <f t="shared" si="48"/>
        <v>17153.084256761686</v>
      </c>
      <c r="AU23" s="1">
        <f t="shared" si="48"/>
        <v>21268.739548416645</v>
      </c>
      <c r="AV23" s="1">
        <f t="shared" si="48"/>
        <v>25850.560771084238</v>
      </c>
      <c r="AW23" s="1">
        <f t="shared" si="48"/>
        <v>30931.987819538179</v>
      </c>
      <c r="AX23" s="1">
        <f t="shared" si="48"/>
        <v>36546.429407710428</v>
      </c>
    </row>
    <row r="24" spans="2:151">
      <c r="B24" s="1" t="s">
        <v>17</v>
      </c>
      <c r="C24" s="1">
        <f t="shared" ref="C24:F24" si="49">+C22+C23</f>
        <v>5861</v>
      </c>
      <c r="D24" s="1">
        <f t="shared" si="49"/>
        <v>6131</v>
      </c>
      <c r="E24" s="1">
        <f t="shared" si="49"/>
        <v>8133</v>
      </c>
      <c r="F24" s="1">
        <f t="shared" si="49"/>
        <v>13056</v>
      </c>
      <c r="G24" s="1">
        <f t="shared" ref="G24:J24" si="50">+G22+G23</f>
        <v>11503</v>
      </c>
      <c r="H24" s="1">
        <f t="shared" si="50"/>
        <v>12513</v>
      </c>
      <c r="I24" s="1">
        <f t="shared" si="50"/>
        <v>10565</v>
      </c>
      <c r="J24" s="1">
        <f t="shared" si="50"/>
        <v>12703</v>
      </c>
      <c r="K24" s="1">
        <f t="shared" ref="K24:S24" si="51">+K22+K23</f>
        <v>8908</v>
      </c>
      <c r="L24" s="1">
        <f t="shared" si="51"/>
        <v>8186</v>
      </c>
      <c r="M24" s="1">
        <f t="shared" si="51"/>
        <v>5576</v>
      </c>
      <c r="N24" s="1">
        <f t="shared" si="51"/>
        <v>6149</v>
      </c>
      <c r="O24" s="1">
        <f t="shared" si="51"/>
        <v>7307</v>
      </c>
      <c r="P24" s="1">
        <f t="shared" si="51"/>
        <v>9293</v>
      </c>
      <c r="Q24" s="1">
        <f t="shared" si="51"/>
        <v>14020</v>
      </c>
      <c r="R24" s="1">
        <f t="shared" si="51"/>
        <v>16808</v>
      </c>
      <c r="S24" s="1">
        <f t="shared" si="51"/>
        <v>14183</v>
      </c>
      <c r="T24" s="1">
        <f t="shared" ref="T24:V24" si="52">+T22+T23</f>
        <v>15106</v>
      </c>
      <c r="U24" s="1">
        <f t="shared" si="52"/>
        <v>17822</v>
      </c>
      <c r="V24" s="1">
        <f t="shared" si="52"/>
        <v>23552</v>
      </c>
      <c r="W24" s="1">
        <f t="shared" ref="W24" si="53">+W22+W23</f>
        <v>18382</v>
      </c>
      <c r="AB24" s="15"/>
      <c r="AC24" s="15"/>
      <c r="AD24" s="1">
        <f t="shared" ref="AD24:AM24" si="54">+AD22+AD23</f>
        <v>4910</v>
      </c>
      <c r="AE24" s="1">
        <f t="shared" si="54"/>
        <v>6194</v>
      </c>
      <c r="AF24" s="1">
        <f t="shared" si="54"/>
        <v>12518</v>
      </c>
      <c r="AG24" s="1">
        <f t="shared" si="54"/>
        <v>20594</v>
      </c>
      <c r="AH24" s="1">
        <f t="shared" si="54"/>
        <v>25361</v>
      </c>
      <c r="AI24" s="1">
        <f t="shared" si="54"/>
        <v>24812</v>
      </c>
      <c r="AJ24" s="1">
        <f t="shared" si="54"/>
        <v>33181</v>
      </c>
      <c r="AK24" s="1">
        <f t="shared" si="54"/>
        <v>47284</v>
      </c>
      <c r="AL24" s="1">
        <f t="shared" si="54"/>
        <v>28819</v>
      </c>
      <c r="AM24" s="1">
        <f t="shared" si="54"/>
        <v>47427</v>
      </c>
      <c r="AN24" s="1">
        <f>+AN22+AN23</f>
        <v>70663</v>
      </c>
      <c r="AO24" s="1">
        <f t="shared" ref="AO24:AX24" si="55">+AO22+AO23</f>
        <v>77296.899999999994</v>
      </c>
      <c r="AP24" s="1">
        <f t="shared" si="55"/>
        <v>85696.927600000025</v>
      </c>
      <c r="AQ24" s="1">
        <f t="shared" si="55"/>
        <v>94180.118217200055</v>
      </c>
      <c r="AR24" s="1">
        <f t="shared" si="55"/>
        <v>102546.18672363048</v>
      </c>
      <c r="AS24" s="1">
        <f t="shared" si="55"/>
        <v>115077.50048297209</v>
      </c>
      <c r="AT24" s="1">
        <f t="shared" si="55"/>
        <v>128614.2278642176</v>
      </c>
      <c r="AU24" s="1">
        <f t="shared" si="55"/>
        <v>143181.9132083623</v>
      </c>
      <c r="AV24" s="1">
        <f t="shared" si="55"/>
        <v>158794.5952641856</v>
      </c>
      <c r="AW24" s="1">
        <f t="shared" si="55"/>
        <v>175451.29963038288</v>
      </c>
      <c r="AX24" s="1">
        <f t="shared" si="55"/>
        <v>202280.96873024059</v>
      </c>
    </row>
    <row r="25" spans="2:151">
      <c r="B25" s="1" t="s">
        <v>18</v>
      </c>
      <c r="C25" s="1">
        <v>959</v>
      </c>
      <c r="D25" s="1">
        <v>953</v>
      </c>
      <c r="E25" s="1">
        <v>287</v>
      </c>
      <c r="F25" s="1">
        <f t="shared" si="46"/>
        <v>1835</v>
      </c>
      <c r="G25" s="1">
        <v>2006</v>
      </c>
      <c r="H25" s="1">
        <v>2119</v>
      </c>
      <c r="I25" s="1">
        <v>1371</v>
      </c>
      <c r="J25" s="1">
        <f t="shared" si="47"/>
        <v>2418</v>
      </c>
      <c r="K25" s="1">
        <v>1443</v>
      </c>
      <c r="L25" s="1">
        <v>1499</v>
      </c>
      <c r="M25" s="1">
        <v>1181</v>
      </c>
      <c r="N25" s="1">
        <v>1497</v>
      </c>
      <c r="O25" s="1">
        <v>1598</v>
      </c>
      <c r="P25" s="1">
        <v>1505</v>
      </c>
      <c r="Q25" s="1">
        <v>2437</v>
      </c>
      <c r="R25" s="1">
        <v>2791</v>
      </c>
      <c r="S25" s="1">
        <v>1814</v>
      </c>
      <c r="T25" s="1">
        <v>1641</v>
      </c>
      <c r="U25" s="1">
        <v>2134</v>
      </c>
      <c r="V25" s="4">
        <f>+AN25-SUM(S25:U25)</f>
        <v>2714</v>
      </c>
      <c r="W25" s="4">
        <v>1738</v>
      </c>
      <c r="AB25" s="15"/>
      <c r="AC25" s="15"/>
      <c r="AD25" s="1">
        <v>1970</v>
      </c>
      <c r="AE25" s="1">
        <v>2506</v>
      </c>
      <c r="AF25" s="1">
        <v>2301</v>
      </c>
      <c r="AG25" s="1">
        <v>4660</v>
      </c>
      <c r="AH25" s="1">
        <v>3249</v>
      </c>
      <c r="AI25" s="1">
        <v>6327</v>
      </c>
      <c r="AJ25" s="1">
        <v>4034</v>
      </c>
      <c r="AK25" s="1">
        <v>7914</v>
      </c>
      <c r="AL25" s="1">
        <v>5619</v>
      </c>
      <c r="AM25" s="1">
        <v>8330</v>
      </c>
      <c r="AN25" s="1">
        <v>8303</v>
      </c>
      <c r="AO25" s="16">
        <f t="shared" ref="AO25:AX25" si="56">+AO24*0.2</f>
        <v>15459.38</v>
      </c>
      <c r="AP25" s="1">
        <f t="shared" si="56"/>
        <v>17139.385520000007</v>
      </c>
      <c r="AQ25" s="1">
        <f t="shared" si="56"/>
        <v>18836.02364344001</v>
      </c>
      <c r="AR25" s="1">
        <f t="shared" si="56"/>
        <v>20509.237344726098</v>
      </c>
      <c r="AS25" s="1">
        <f t="shared" si="56"/>
        <v>23015.50009659442</v>
      </c>
      <c r="AT25" s="1">
        <f t="shared" si="56"/>
        <v>25722.845572843522</v>
      </c>
      <c r="AU25" s="1">
        <f t="shared" si="56"/>
        <v>28636.382641672462</v>
      </c>
      <c r="AV25" s="1">
        <f t="shared" si="56"/>
        <v>31758.919052837122</v>
      </c>
      <c r="AW25" s="1">
        <f t="shared" si="56"/>
        <v>35090.259926076578</v>
      </c>
      <c r="AX25" s="1">
        <f t="shared" si="56"/>
        <v>40456.19374604812</v>
      </c>
    </row>
    <row r="26" spans="2:151" s="8" customFormat="1">
      <c r="B26" s="8" t="s">
        <v>19</v>
      </c>
      <c r="C26" s="8">
        <f t="shared" ref="C26:F26" si="57">+C24-C25</f>
        <v>4902</v>
      </c>
      <c r="D26" s="8">
        <f t="shared" si="57"/>
        <v>5178</v>
      </c>
      <c r="E26" s="8">
        <f t="shared" si="57"/>
        <v>7846</v>
      </c>
      <c r="F26" s="8">
        <f t="shared" si="57"/>
        <v>11221</v>
      </c>
      <c r="G26" s="8">
        <f t="shared" ref="G26:J26" si="58">+G24-G25</f>
        <v>9497</v>
      </c>
      <c r="H26" s="8">
        <f t="shared" si="58"/>
        <v>10394</v>
      </c>
      <c r="I26" s="8">
        <f t="shared" si="58"/>
        <v>9194</v>
      </c>
      <c r="J26" s="8">
        <f t="shared" si="58"/>
        <v>10285</v>
      </c>
      <c r="K26" s="8">
        <f t="shared" ref="K26:S26" si="59">+K24-K25</f>
        <v>7465</v>
      </c>
      <c r="L26" s="8">
        <f t="shared" si="59"/>
        <v>6687</v>
      </c>
      <c r="M26" s="8">
        <f t="shared" si="59"/>
        <v>4395</v>
      </c>
      <c r="N26" s="8">
        <f t="shared" si="59"/>
        <v>4652</v>
      </c>
      <c r="O26" s="8">
        <f t="shared" si="59"/>
        <v>5709</v>
      </c>
      <c r="P26" s="8">
        <f t="shared" si="59"/>
        <v>7788</v>
      </c>
      <c r="Q26" s="8">
        <f t="shared" si="59"/>
        <v>11583</v>
      </c>
      <c r="R26" s="8">
        <f t="shared" si="59"/>
        <v>14017</v>
      </c>
      <c r="S26" s="8">
        <f t="shared" si="59"/>
        <v>12369</v>
      </c>
      <c r="T26" s="8">
        <f t="shared" ref="T26:U26" si="60">+T24-T25</f>
        <v>13465</v>
      </c>
      <c r="U26" s="8">
        <f t="shared" si="60"/>
        <v>15688</v>
      </c>
      <c r="V26" s="8">
        <f>+V15*0.4</f>
        <v>19354.400000000001</v>
      </c>
      <c r="W26" s="8">
        <f>+W15*0.4</f>
        <v>16925.600000000002</v>
      </c>
      <c r="AB26" s="15"/>
      <c r="AC26" s="15"/>
      <c r="AD26" s="8">
        <f t="shared" ref="AD26:AN26" si="61">+AD24-AD25</f>
        <v>2940</v>
      </c>
      <c r="AE26" s="8">
        <f t="shared" si="61"/>
        <v>3688</v>
      </c>
      <c r="AF26" s="8">
        <f t="shared" si="61"/>
        <v>10217</v>
      </c>
      <c r="AG26" s="8">
        <f t="shared" si="61"/>
        <v>15934</v>
      </c>
      <c r="AH26" s="8">
        <f t="shared" si="61"/>
        <v>22112</v>
      </c>
      <c r="AI26" s="8">
        <f t="shared" si="61"/>
        <v>18485</v>
      </c>
      <c r="AJ26" s="8">
        <f t="shared" si="61"/>
        <v>29147</v>
      </c>
      <c r="AK26" s="8">
        <f t="shared" si="61"/>
        <v>39370</v>
      </c>
      <c r="AL26" s="8">
        <f t="shared" si="61"/>
        <v>23200</v>
      </c>
      <c r="AM26" s="8">
        <f t="shared" si="61"/>
        <v>39097</v>
      </c>
      <c r="AN26" s="8">
        <f t="shared" si="61"/>
        <v>62360</v>
      </c>
      <c r="AO26" s="8">
        <f>+AO24-AO25</f>
        <v>61837.52</v>
      </c>
      <c r="AP26" s="8">
        <f t="shared" ref="AP26:AX26" si="62">+AP24-AP25</f>
        <v>68557.542080000014</v>
      </c>
      <c r="AQ26" s="8">
        <f t="shared" si="62"/>
        <v>75344.094573760041</v>
      </c>
      <c r="AR26" s="8">
        <f t="shared" si="62"/>
        <v>82036.949378904392</v>
      </c>
      <c r="AS26" s="8">
        <f t="shared" si="62"/>
        <v>92062.000386377666</v>
      </c>
      <c r="AT26" s="8">
        <f t="shared" si="62"/>
        <v>102891.38229137407</v>
      </c>
      <c r="AU26" s="8">
        <f t="shared" si="62"/>
        <v>114545.53056668983</v>
      </c>
      <c r="AV26" s="8">
        <f t="shared" si="62"/>
        <v>127035.67621134847</v>
      </c>
      <c r="AW26" s="8">
        <f t="shared" si="62"/>
        <v>140361.03970430631</v>
      </c>
      <c r="AX26" s="8">
        <f t="shared" si="62"/>
        <v>161824.77498419248</v>
      </c>
      <c r="AY26" s="8">
        <f>+AX26*(1+$BA$31)</f>
        <v>163443.0227340344</v>
      </c>
      <c r="AZ26" s="8">
        <f t="shared" ref="AZ26:DK26" si="63">+AY26*(1+$BA$31)</f>
        <v>165077.45296137474</v>
      </c>
      <c r="BA26" s="8">
        <f t="shared" si="63"/>
        <v>166728.2274909885</v>
      </c>
      <c r="BB26" s="8">
        <f t="shared" si="63"/>
        <v>168395.5097658984</v>
      </c>
      <c r="BC26" s="8">
        <f t="shared" si="63"/>
        <v>170079.4648635574</v>
      </c>
      <c r="BD26" s="8">
        <f t="shared" si="63"/>
        <v>171780.25951219298</v>
      </c>
      <c r="BE26" s="8">
        <f t="shared" si="63"/>
        <v>173498.06210731491</v>
      </c>
      <c r="BF26" s="8">
        <f t="shared" si="63"/>
        <v>175233.04272838807</v>
      </c>
      <c r="BG26" s="8">
        <f t="shared" si="63"/>
        <v>176985.37315567196</v>
      </c>
      <c r="BH26" s="8">
        <f t="shared" si="63"/>
        <v>178755.22688722867</v>
      </c>
      <c r="BI26" s="8">
        <f t="shared" si="63"/>
        <v>180542.77915610097</v>
      </c>
      <c r="BJ26" s="8">
        <f t="shared" si="63"/>
        <v>182348.20694766197</v>
      </c>
      <c r="BK26" s="8">
        <f t="shared" si="63"/>
        <v>184171.68901713859</v>
      </c>
      <c r="BL26" s="8">
        <f t="shared" si="63"/>
        <v>186013.40590730996</v>
      </c>
      <c r="BM26" s="8">
        <f t="shared" si="63"/>
        <v>187873.53996638308</v>
      </c>
      <c r="BN26" s="8">
        <f t="shared" si="63"/>
        <v>189752.2753660469</v>
      </c>
      <c r="BO26" s="8">
        <f t="shared" si="63"/>
        <v>191649.79811970738</v>
      </c>
      <c r="BP26" s="8">
        <f t="shared" si="63"/>
        <v>193566.29610090447</v>
      </c>
      <c r="BQ26" s="8">
        <f t="shared" si="63"/>
        <v>195501.95906191351</v>
      </c>
      <c r="BR26" s="8">
        <f t="shared" si="63"/>
        <v>197456.97865253265</v>
      </c>
      <c r="BS26" s="8">
        <f t="shared" si="63"/>
        <v>199431.54843905798</v>
      </c>
      <c r="BT26" s="8">
        <f t="shared" si="63"/>
        <v>201425.86392344857</v>
      </c>
      <c r="BU26" s="8">
        <f t="shared" si="63"/>
        <v>203440.12256268307</v>
      </c>
      <c r="BV26" s="8">
        <f t="shared" si="63"/>
        <v>205474.52378830992</v>
      </c>
      <c r="BW26" s="8">
        <f t="shared" si="63"/>
        <v>207529.26902619301</v>
      </c>
      <c r="BX26" s="8">
        <f t="shared" si="63"/>
        <v>209604.56171645495</v>
      </c>
      <c r="BY26" s="8">
        <f t="shared" si="63"/>
        <v>211700.6073336195</v>
      </c>
      <c r="BZ26" s="8">
        <f t="shared" si="63"/>
        <v>213817.6134069557</v>
      </c>
      <c r="CA26" s="8">
        <f t="shared" si="63"/>
        <v>215955.78954102527</v>
      </c>
      <c r="CB26" s="8">
        <f t="shared" si="63"/>
        <v>218115.34743643552</v>
      </c>
      <c r="CC26" s="8">
        <f t="shared" si="63"/>
        <v>220296.50091079989</v>
      </c>
      <c r="CD26" s="8">
        <f t="shared" si="63"/>
        <v>222499.4659199079</v>
      </c>
      <c r="CE26" s="8">
        <f t="shared" si="63"/>
        <v>224724.46057910699</v>
      </c>
      <c r="CF26" s="8">
        <f t="shared" si="63"/>
        <v>226971.70518489808</v>
      </c>
      <c r="CG26" s="8">
        <f t="shared" si="63"/>
        <v>229241.42223674705</v>
      </c>
      <c r="CH26" s="8">
        <f t="shared" si="63"/>
        <v>231533.83645911454</v>
      </c>
      <c r="CI26" s="8">
        <f t="shared" si="63"/>
        <v>233849.17482370569</v>
      </c>
      <c r="CJ26" s="8">
        <f t="shared" si="63"/>
        <v>236187.66657194274</v>
      </c>
      <c r="CK26" s="8">
        <f t="shared" si="63"/>
        <v>238549.54323766218</v>
      </c>
      <c r="CL26" s="8">
        <f t="shared" si="63"/>
        <v>240935.0386700388</v>
      </c>
      <c r="CM26" s="8">
        <f t="shared" si="63"/>
        <v>243344.38905673919</v>
      </c>
      <c r="CN26" s="8">
        <f t="shared" si="63"/>
        <v>245777.8329473066</v>
      </c>
      <c r="CO26" s="8">
        <f t="shared" si="63"/>
        <v>248235.61127677967</v>
      </c>
      <c r="CP26" s="8">
        <f t="shared" si="63"/>
        <v>250717.96738954747</v>
      </c>
      <c r="CQ26" s="8">
        <f t="shared" si="63"/>
        <v>253225.14706344294</v>
      </c>
      <c r="CR26" s="8">
        <f t="shared" si="63"/>
        <v>255757.39853407737</v>
      </c>
      <c r="CS26" s="8">
        <f t="shared" si="63"/>
        <v>258314.97251941814</v>
      </c>
      <c r="CT26" s="8">
        <f t="shared" si="63"/>
        <v>260898.12224461231</v>
      </c>
      <c r="CU26" s="8">
        <f t="shared" si="63"/>
        <v>263507.10346705845</v>
      </c>
      <c r="CV26" s="8">
        <f t="shared" si="63"/>
        <v>266142.17450172902</v>
      </c>
      <c r="CW26" s="8">
        <f t="shared" si="63"/>
        <v>268803.59624674631</v>
      </c>
      <c r="CX26" s="8">
        <f t="shared" si="63"/>
        <v>271491.6322092138</v>
      </c>
      <c r="CY26" s="8">
        <f t="shared" si="63"/>
        <v>274206.54853130592</v>
      </c>
      <c r="CZ26" s="8">
        <f t="shared" si="63"/>
        <v>276948.61401661899</v>
      </c>
      <c r="DA26" s="8">
        <f t="shared" si="63"/>
        <v>279718.10015678516</v>
      </c>
      <c r="DB26" s="8">
        <f t="shared" si="63"/>
        <v>282515.28115835303</v>
      </c>
      <c r="DC26" s="8">
        <f t="shared" si="63"/>
        <v>285340.43396993657</v>
      </c>
      <c r="DD26" s="8">
        <f t="shared" si="63"/>
        <v>288193.83830963593</v>
      </c>
      <c r="DE26" s="8">
        <f t="shared" si="63"/>
        <v>291075.7766927323</v>
      </c>
      <c r="DF26" s="8">
        <f t="shared" si="63"/>
        <v>293986.5344596596</v>
      </c>
      <c r="DG26" s="8">
        <f t="shared" si="63"/>
        <v>296926.39980425622</v>
      </c>
      <c r="DH26" s="8">
        <f t="shared" si="63"/>
        <v>299895.66380229878</v>
      </c>
      <c r="DI26" s="8">
        <f t="shared" si="63"/>
        <v>302894.62044032174</v>
      </c>
      <c r="DJ26" s="8">
        <f t="shared" si="63"/>
        <v>305923.56664472498</v>
      </c>
      <c r="DK26" s="8">
        <f t="shared" si="63"/>
        <v>308982.80231117224</v>
      </c>
      <c r="DL26" s="8">
        <f t="shared" ref="DL26:EU26" si="64">+DK26*(1+$BA$31)</f>
        <v>312072.63033428398</v>
      </c>
      <c r="DM26" s="8">
        <f t="shared" si="64"/>
        <v>315193.35663762683</v>
      </c>
      <c r="DN26" s="8">
        <f t="shared" si="64"/>
        <v>318345.2902040031</v>
      </c>
      <c r="DO26" s="8">
        <f t="shared" si="64"/>
        <v>321528.74310604314</v>
      </c>
      <c r="DP26" s="8">
        <f t="shared" si="64"/>
        <v>324744.03053710359</v>
      </c>
      <c r="DQ26" s="8">
        <f t="shared" si="64"/>
        <v>327991.47084247461</v>
      </c>
      <c r="DR26" s="8">
        <f t="shared" si="64"/>
        <v>331271.38555089937</v>
      </c>
      <c r="DS26" s="8">
        <f t="shared" si="64"/>
        <v>334584.09940640838</v>
      </c>
      <c r="DT26" s="8">
        <f t="shared" si="64"/>
        <v>337929.94040047249</v>
      </c>
      <c r="DU26" s="8">
        <f t="shared" si="64"/>
        <v>341309.2398044772</v>
      </c>
      <c r="DV26" s="8">
        <f t="shared" si="64"/>
        <v>344722.33220252197</v>
      </c>
      <c r="DW26" s="8">
        <f t="shared" si="64"/>
        <v>348169.55552454718</v>
      </c>
      <c r="DX26" s="8">
        <f t="shared" si="64"/>
        <v>351651.25107979268</v>
      </c>
      <c r="DY26" s="8">
        <f t="shared" si="64"/>
        <v>355167.76359059062</v>
      </c>
      <c r="DZ26" s="8">
        <f t="shared" si="64"/>
        <v>358719.44122649654</v>
      </c>
      <c r="EA26" s="8">
        <f t="shared" si="64"/>
        <v>362306.63563876151</v>
      </c>
      <c r="EB26" s="8">
        <f t="shared" si="64"/>
        <v>365929.70199514914</v>
      </c>
      <c r="EC26" s="8">
        <f t="shared" si="64"/>
        <v>369588.99901510065</v>
      </c>
      <c r="ED26" s="8">
        <f t="shared" si="64"/>
        <v>373284.88900525164</v>
      </c>
      <c r="EE26" s="8">
        <f t="shared" si="64"/>
        <v>377017.73789530416</v>
      </c>
      <c r="EF26" s="8">
        <f t="shared" si="64"/>
        <v>380787.91527425719</v>
      </c>
      <c r="EG26" s="8">
        <f t="shared" si="64"/>
        <v>384595.79442699975</v>
      </c>
      <c r="EH26" s="8">
        <f t="shared" si="64"/>
        <v>388441.75237126974</v>
      </c>
      <c r="EI26" s="8">
        <f t="shared" si="64"/>
        <v>392326.16989498242</v>
      </c>
      <c r="EJ26" s="8">
        <f t="shared" si="64"/>
        <v>396249.43159393227</v>
      </c>
      <c r="EK26" s="8">
        <f t="shared" si="64"/>
        <v>400211.92590987158</v>
      </c>
      <c r="EL26" s="8">
        <f t="shared" si="64"/>
        <v>404214.0451689703</v>
      </c>
      <c r="EM26" s="8">
        <f t="shared" si="64"/>
        <v>408256.18562066002</v>
      </c>
      <c r="EN26" s="8">
        <f t="shared" si="64"/>
        <v>412338.74747686664</v>
      </c>
      <c r="EO26" s="8">
        <f t="shared" si="64"/>
        <v>416462.13495163532</v>
      </c>
      <c r="EP26" s="8">
        <f t="shared" si="64"/>
        <v>420626.7563011517</v>
      </c>
      <c r="EQ26" s="8">
        <f t="shared" si="64"/>
        <v>424833.0238641632</v>
      </c>
      <c r="ER26" s="8">
        <f t="shared" si="64"/>
        <v>429081.35410280485</v>
      </c>
      <c r="ES26" s="8">
        <f t="shared" si="64"/>
        <v>433372.16764383292</v>
      </c>
      <c r="ET26" s="8">
        <f t="shared" si="64"/>
        <v>437705.88932027126</v>
      </c>
      <c r="EU26" s="8">
        <f t="shared" si="64"/>
        <v>442082.94821347395</v>
      </c>
    </row>
    <row r="27" spans="2:151" s="7" customFormat="1">
      <c r="B27" s="7" t="s">
        <v>20</v>
      </c>
      <c r="C27" s="7">
        <f t="shared" ref="C27:F27" si="65">+C26/C28</f>
        <v>1.7092050209205021</v>
      </c>
      <c r="D27" s="7">
        <f t="shared" si="65"/>
        <v>1.7985411601250434</v>
      </c>
      <c r="E27" s="7">
        <f t="shared" si="65"/>
        <v>2.7139398132134209</v>
      </c>
      <c r="F27" s="7">
        <f t="shared" si="65"/>
        <v>3.8970826580226903</v>
      </c>
      <c r="G27" s="7">
        <f t="shared" ref="G27:J27" si="66">+G26/G28</f>
        <v>3.2952810548230396</v>
      </c>
      <c r="H27" s="7">
        <f t="shared" si="66"/>
        <v>3.6127911018421965</v>
      </c>
      <c r="I27" s="7">
        <f t="shared" si="66"/>
        <v>3.2158097236796084</v>
      </c>
      <c r="J27" s="7">
        <f t="shared" si="66"/>
        <v>3.5802970526804363</v>
      </c>
      <c r="K27" s="7">
        <f t="shared" ref="K27:S27" si="67">+K26/K28</f>
        <v>2.7224653537563821</v>
      </c>
      <c r="L27" s="7">
        <f t="shared" si="67"/>
        <v>2.4647991153704387</v>
      </c>
      <c r="M27" s="7">
        <f t="shared" si="67"/>
        <v>1.6356531447711202</v>
      </c>
      <c r="N27" s="7">
        <f t="shared" si="67"/>
        <v>1.7621212121212122</v>
      </c>
      <c r="O27" s="7">
        <f t="shared" si="67"/>
        <v>2.1991525423728815</v>
      </c>
      <c r="P27" s="7">
        <f t="shared" si="67"/>
        <v>2.9816232771822357</v>
      </c>
      <c r="Q27" s="7">
        <f t="shared" si="67"/>
        <v>4.3858386974630825</v>
      </c>
      <c r="R27" s="7">
        <f t="shared" si="67"/>
        <v>5.3296577946768062</v>
      </c>
      <c r="S27" s="7">
        <f t="shared" si="67"/>
        <v>4.7119999999999997</v>
      </c>
      <c r="T27" s="7">
        <f t="shared" ref="T27:V27" si="68">+T26/T28</f>
        <v>5.1590038314176248</v>
      </c>
      <c r="U27" s="7">
        <f t="shared" si="68"/>
        <v>6.0338461538461541</v>
      </c>
      <c r="V27" s="7">
        <f t="shared" si="68"/>
        <v>7.4041315990818672</v>
      </c>
      <c r="W27" s="7">
        <f t="shared" ref="W27" si="69">+W26/W28</f>
        <v>6.5349806949806961</v>
      </c>
      <c r="AB27" s="15"/>
      <c r="AC27" s="15"/>
      <c r="AD27" s="7">
        <f t="shared" ref="AD27:AX27" si="70">+AD26/AD28</f>
        <v>1.1036036036036037</v>
      </c>
      <c r="AE27" s="7">
        <f t="shared" si="70"/>
        <v>1.2926743778478795</v>
      </c>
      <c r="AF27" s="7">
        <f t="shared" si="70"/>
        <v>3.4929914529914532</v>
      </c>
      <c r="AG27" s="7">
        <f t="shared" si="70"/>
        <v>5.3903924221921518</v>
      </c>
      <c r="AH27" s="7">
        <f t="shared" si="70"/>
        <v>7.5700102704553238</v>
      </c>
      <c r="AI27" s="7">
        <f t="shared" si="70"/>
        <v>6.4273296244784426</v>
      </c>
      <c r="AJ27" s="7">
        <f t="shared" si="70"/>
        <v>10.092451523545707</v>
      </c>
      <c r="AK27" s="7">
        <f t="shared" si="70"/>
        <v>13.770549143057012</v>
      </c>
      <c r="AL27" s="7">
        <f t="shared" si="70"/>
        <v>8.5862324204293117</v>
      </c>
      <c r="AM27" s="7">
        <f t="shared" si="70"/>
        <v>14.871434005325218</v>
      </c>
      <c r="AN27" s="7">
        <f t="shared" si="70"/>
        <v>23.872140874724852</v>
      </c>
      <c r="AO27" s="7">
        <f t="shared" si="70"/>
        <v>24.155234071808451</v>
      </c>
      <c r="AP27" s="7">
        <f t="shared" si="70"/>
        <v>27.326773030457655</v>
      </c>
      <c r="AQ27" s="7">
        <f t="shared" si="70"/>
        <v>30.644762036656576</v>
      </c>
      <c r="AR27" s="7">
        <f t="shared" si="70"/>
        <v>34.047910269139003</v>
      </c>
      <c r="AS27" s="7">
        <f t="shared" si="70"/>
        <v>38.988389043409441</v>
      </c>
      <c r="AT27" s="7">
        <f t="shared" si="70"/>
        <v>44.463926319773748</v>
      </c>
      <c r="AU27" s="7">
        <f t="shared" si="70"/>
        <v>50.510408457584134</v>
      </c>
      <c r="AV27" s="7">
        <f t="shared" si="70"/>
        <v>57.161334621884812</v>
      </c>
      <c r="AW27" s="7">
        <f t="shared" si="70"/>
        <v>64.446176658386861</v>
      </c>
      <c r="AX27" s="7">
        <f t="shared" si="70"/>
        <v>75.817509967802877</v>
      </c>
    </row>
    <row r="28" spans="2:151">
      <c r="B28" s="1" t="s">
        <v>3</v>
      </c>
      <c r="C28" s="1">
        <v>2868</v>
      </c>
      <c r="D28" s="1">
        <v>2879</v>
      </c>
      <c r="E28" s="1">
        <v>2891</v>
      </c>
      <c r="F28" s="1">
        <f>+AVERAGE(C28:E28)</f>
        <v>2879.3333333333335</v>
      </c>
      <c r="G28" s="1">
        <v>2882</v>
      </c>
      <c r="H28" s="1">
        <v>2877</v>
      </c>
      <c r="I28" s="1">
        <v>2859</v>
      </c>
      <c r="J28" s="1">
        <f>+AVERAGE(G28:I28)</f>
        <v>2872.6666666666665</v>
      </c>
      <c r="K28" s="1">
        <v>2742</v>
      </c>
      <c r="L28" s="1">
        <v>2713</v>
      </c>
      <c r="M28" s="1">
        <v>2687</v>
      </c>
      <c r="N28" s="1">
        <v>2640</v>
      </c>
      <c r="O28" s="1">
        <v>2596</v>
      </c>
      <c r="P28" s="1">
        <v>2612</v>
      </c>
      <c r="Q28" s="1">
        <v>2641</v>
      </c>
      <c r="R28" s="1">
        <v>2630</v>
      </c>
      <c r="S28" s="1">
        <v>2625</v>
      </c>
      <c r="T28" s="1">
        <v>2610</v>
      </c>
      <c r="U28" s="1">
        <v>2600</v>
      </c>
      <c r="V28" s="1">
        <v>2614</v>
      </c>
      <c r="W28" s="1">
        <v>2590</v>
      </c>
      <c r="AB28" s="15">
        <f t="shared" ref="AB28" si="71">(AM28/AI28)^(1/5)-1</f>
        <v>-1.7799070293453512E-2</v>
      </c>
      <c r="AC28" s="15">
        <v>-0.02</v>
      </c>
      <c r="AD28" s="1">
        <v>2664</v>
      </c>
      <c r="AE28" s="1">
        <v>2853</v>
      </c>
      <c r="AF28" s="1">
        <v>2925</v>
      </c>
      <c r="AG28" s="1">
        <v>2956</v>
      </c>
      <c r="AH28" s="1">
        <v>2921</v>
      </c>
      <c r="AI28" s="1">
        <v>2876</v>
      </c>
      <c r="AJ28" s="1">
        <v>2888</v>
      </c>
      <c r="AK28" s="1">
        <v>2859</v>
      </c>
      <c r="AL28" s="1">
        <v>2702</v>
      </c>
      <c r="AM28" s="1">
        <v>2629</v>
      </c>
      <c r="AN28" s="1">
        <f>+AVERAGE(S28:V28)</f>
        <v>2612.25</v>
      </c>
      <c r="AO28" s="1">
        <f t="shared" ref="AO28:AX28" si="72">+AN28*0.98</f>
        <v>2560.0050000000001</v>
      </c>
      <c r="AP28" s="1">
        <f t="shared" si="72"/>
        <v>2508.8049000000001</v>
      </c>
      <c r="AQ28" s="1">
        <f t="shared" si="72"/>
        <v>2458.6288020000002</v>
      </c>
      <c r="AR28" s="1">
        <f t="shared" si="72"/>
        <v>2409.4562259600002</v>
      </c>
      <c r="AS28" s="1">
        <f t="shared" si="72"/>
        <v>2361.2671014408002</v>
      </c>
      <c r="AT28" s="1">
        <f t="shared" si="72"/>
        <v>2314.041759411984</v>
      </c>
      <c r="AU28" s="1">
        <f t="shared" si="72"/>
        <v>2267.7609242237445</v>
      </c>
      <c r="AV28" s="1">
        <f t="shared" si="72"/>
        <v>2222.4057057392697</v>
      </c>
      <c r="AW28" s="1">
        <f t="shared" si="72"/>
        <v>2177.9575916244844</v>
      </c>
      <c r="AX28" s="1">
        <f t="shared" si="72"/>
        <v>2134.3984397919949</v>
      </c>
    </row>
    <row r="30" spans="2:151" s="5" customFormat="1">
      <c r="B30" s="5" t="s">
        <v>21</v>
      </c>
      <c r="C30" s="5">
        <f t="shared" ref="C30:U30" si="73">+C17/C15</f>
        <v>0.80498393189378137</v>
      </c>
      <c r="D30" s="5">
        <f t="shared" si="73"/>
        <v>0.7950981966072671</v>
      </c>
      <c r="E30" s="5">
        <f t="shared" si="73"/>
        <v>0.80465766185374943</v>
      </c>
      <c r="F30" s="5">
        <f t="shared" si="73"/>
        <v>0.81440581362211462</v>
      </c>
      <c r="G30" s="5">
        <f t="shared" si="73"/>
        <v>0.80394329601467274</v>
      </c>
      <c r="H30" s="5">
        <f t="shared" si="73"/>
        <v>0.81432059703545756</v>
      </c>
      <c r="I30" s="5">
        <f t="shared" si="73"/>
        <v>0.80106859703550504</v>
      </c>
      <c r="J30" s="5">
        <f t="shared" si="73"/>
        <v>0.81146981081642955</v>
      </c>
      <c r="K30" s="5">
        <f t="shared" si="73"/>
        <v>0.78482872294682526</v>
      </c>
      <c r="L30" s="5">
        <f t="shared" si="73"/>
        <v>0.81985982929706469</v>
      </c>
      <c r="M30" s="5">
        <f t="shared" si="73"/>
        <v>0.79375045103557773</v>
      </c>
      <c r="N30" s="5">
        <f t="shared" si="73"/>
        <v>0.74083631276231932</v>
      </c>
      <c r="O30" s="5">
        <f t="shared" si="73"/>
        <v>0.7867690696456624</v>
      </c>
      <c r="P30" s="5">
        <f t="shared" si="73"/>
        <v>0.81421294415450485</v>
      </c>
      <c r="Q30" s="5">
        <f t="shared" si="73"/>
        <v>0.81813389562467054</v>
      </c>
      <c r="R30" s="5">
        <f t="shared" si="73"/>
        <v>0.80815736331679588</v>
      </c>
      <c r="S30" s="5">
        <f t="shared" si="73"/>
        <v>0.81785763269784661</v>
      </c>
      <c r="T30" s="5">
        <f t="shared" si="73"/>
        <v>0.81295590079598679</v>
      </c>
      <c r="U30" s="5">
        <f t="shared" si="73"/>
        <v>0.81830052477272164</v>
      </c>
      <c r="V30" s="5">
        <f t="shared" ref="V30:W30" si="74">+V17/V15</f>
        <v>0.81734385979415536</v>
      </c>
      <c r="W30" s="5">
        <f t="shared" si="74"/>
        <v>0.82105213404546962</v>
      </c>
      <c r="AD30" s="5">
        <f t="shared" ref="AD30:AM30" si="75">+AD17/AD15</f>
        <v>0.82729022942403341</v>
      </c>
      <c r="AE30" s="5">
        <f t="shared" si="75"/>
        <v>0.84008255243195007</v>
      </c>
      <c r="AF30" s="5">
        <f t="shared" si="75"/>
        <v>0.86290614371517471</v>
      </c>
      <c r="AG30" s="5">
        <f t="shared" si="75"/>
        <v>0.86584015939783043</v>
      </c>
      <c r="AH30" s="5">
        <f t="shared" si="75"/>
        <v>0.8324617643898421</v>
      </c>
      <c r="AI30" s="5">
        <f t="shared" si="75"/>
        <v>0.81936998741106415</v>
      </c>
      <c r="AJ30" s="5">
        <f t="shared" si="75"/>
        <v>0.80583021194425708</v>
      </c>
      <c r="AK30" s="5">
        <f t="shared" si="75"/>
        <v>0.80794376277251567</v>
      </c>
      <c r="AL30" s="5">
        <f t="shared" si="75"/>
        <v>0.78347297378418479</v>
      </c>
      <c r="AM30" s="5">
        <f t="shared" si="75"/>
        <v>0.80756999577467925</v>
      </c>
      <c r="AN30" s="5">
        <f t="shared" ref="AN30:AX30" si="76">+AN17/AN15</f>
        <v>0.81665157050717019</v>
      </c>
      <c r="AO30" s="5">
        <f t="shared" si="76"/>
        <v>0.81995514581334716</v>
      </c>
      <c r="AP30" s="5">
        <f t="shared" si="76"/>
        <v>0.8231991972401338</v>
      </c>
      <c r="AQ30" s="5">
        <f t="shared" si="76"/>
        <v>0.82638479728986114</v>
      </c>
      <c r="AR30" s="5">
        <f t="shared" si="76"/>
        <v>0.82951299914049426</v>
      </c>
      <c r="AS30" s="5">
        <f t="shared" si="76"/>
        <v>0.83258483699381869</v>
      </c>
      <c r="AT30" s="5">
        <f t="shared" si="76"/>
        <v>0.83560132641735341</v>
      </c>
      <c r="AU30" s="5">
        <f t="shared" si="76"/>
        <v>0.8385634646801039</v>
      </c>
      <c r="AV30" s="5">
        <f t="shared" si="76"/>
        <v>0.84147223108226421</v>
      </c>
      <c r="AW30" s="5">
        <f t="shared" si="76"/>
        <v>0.84432858727898008</v>
      </c>
      <c r="AX30" s="5">
        <f t="shared" si="76"/>
        <v>0.84713347759827773</v>
      </c>
      <c r="AZ30" s="5" t="s">
        <v>92</v>
      </c>
      <c r="BA30" s="5">
        <v>0.04</v>
      </c>
    </row>
    <row r="31" spans="2:151" s="5" customFormat="1">
      <c r="B31" s="5" t="s">
        <v>22</v>
      </c>
      <c r="C31" s="5">
        <f t="shared" ref="C31:U31" si="77">+C22/C15</f>
        <v>0.33224333314540228</v>
      </c>
      <c r="D31" s="5">
        <f t="shared" si="77"/>
        <v>0.31909883876491679</v>
      </c>
      <c r="E31" s="5">
        <f t="shared" si="77"/>
        <v>0.37447601304145317</v>
      </c>
      <c r="F31" s="5">
        <f t="shared" si="77"/>
        <v>0.45511541749786266</v>
      </c>
      <c r="G31" s="5">
        <f t="shared" si="77"/>
        <v>0.43475602766420846</v>
      </c>
      <c r="H31" s="5">
        <f t="shared" si="77"/>
        <v>0.42531898063761736</v>
      </c>
      <c r="I31" s="5">
        <f t="shared" si="77"/>
        <v>0.35928990003447087</v>
      </c>
      <c r="J31" s="5">
        <f t="shared" si="77"/>
        <v>0.37376377297971547</v>
      </c>
      <c r="K31" s="5">
        <f t="shared" si="77"/>
        <v>0.30543213415508097</v>
      </c>
      <c r="L31" s="5">
        <f t="shared" si="77"/>
        <v>0.28998681562695161</v>
      </c>
      <c r="M31" s="5">
        <f t="shared" si="77"/>
        <v>0.20437324096124701</v>
      </c>
      <c r="N31" s="5">
        <f t="shared" si="77"/>
        <v>0.19894295041193844</v>
      </c>
      <c r="O31" s="5">
        <f t="shared" si="77"/>
        <v>0.25229533950078548</v>
      </c>
      <c r="P31" s="5">
        <f t="shared" si="77"/>
        <v>0.29350917216163003</v>
      </c>
      <c r="Q31" s="5">
        <f t="shared" si="77"/>
        <v>0.40262402624026239</v>
      </c>
      <c r="R31" s="5">
        <f t="shared" si="77"/>
        <v>0.4084665054473835</v>
      </c>
      <c r="S31" s="5">
        <f t="shared" si="77"/>
        <v>0.37904265532848719</v>
      </c>
      <c r="T31" s="5">
        <f t="shared" si="77"/>
        <v>0.38000051188861306</v>
      </c>
      <c r="U31" s="5">
        <f t="shared" si="77"/>
        <v>0.4274557146024785</v>
      </c>
      <c r="V31" s="5">
        <f t="shared" ref="V31:W31" si="78">+V22/V15</f>
        <v>0.48288761211920805</v>
      </c>
      <c r="W31" s="5">
        <f t="shared" si="78"/>
        <v>0.41487450961856598</v>
      </c>
      <c r="AD31" s="5">
        <f t="shared" ref="AD31:AM31" si="79">+AD22/AD15</f>
        <v>0.40060965827049577</v>
      </c>
      <c r="AE31" s="5">
        <f t="shared" si="79"/>
        <v>0.34722222222222221</v>
      </c>
      <c r="AF31" s="5">
        <f t="shared" si="79"/>
        <v>0.44963456111151312</v>
      </c>
      <c r="AG31" s="5">
        <f t="shared" si="79"/>
        <v>0.49696209381841439</v>
      </c>
      <c r="AH31" s="5">
        <f t="shared" si="79"/>
        <v>0.44616569361366809</v>
      </c>
      <c r="AI31" s="5">
        <f t="shared" si="79"/>
        <v>0.33927889443682191</v>
      </c>
      <c r="AJ31" s="5">
        <f t="shared" si="79"/>
        <v>0.38005723192890212</v>
      </c>
      <c r="AK31" s="5">
        <f t="shared" si="79"/>
        <v>0.39645040660058173</v>
      </c>
      <c r="AL31" s="5">
        <f t="shared" si="79"/>
        <v>0.24821411726367604</v>
      </c>
      <c r="AM31" s="5">
        <f t="shared" si="79"/>
        <v>0.34655043328070212</v>
      </c>
      <c r="AN31" s="5">
        <f t="shared" ref="AN31:AX31" si="80">+AN22/AN15</f>
        <v>0.42176035404040096</v>
      </c>
      <c r="AO31" s="5">
        <f t="shared" si="80"/>
        <v>0.41259006010588062</v>
      </c>
      <c r="AP31" s="5">
        <f t="shared" si="80"/>
        <v>0.40094332135997207</v>
      </c>
      <c r="AQ31" s="5">
        <f t="shared" si="80"/>
        <v>0.38672790758047221</v>
      </c>
      <c r="AR31" s="5">
        <f t="shared" si="80"/>
        <v>0.36983639251022499</v>
      </c>
      <c r="AS31" s="5">
        <f t="shared" si="80"/>
        <v>0.3665555073496487</v>
      </c>
      <c r="AT31" s="5">
        <f t="shared" si="80"/>
        <v>0.36225724469579568</v>
      </c>
      <c r="AU31" s="5">
        <f t="shared" si="80"/>
        <v>0.35696138924203463</v>
      </c>
      <c r="AV31" s="5">
        <f t="shared" si="80"/>
        <v>0.35068442800539018</v>
      </c>
      <c r="AW31" s="5">
        <f t="shared" si="80"/>
        <v>0.34343972947441764</v>
      </c>
      <c r="AX31" s="5">
        <f t="shared" si="80"/>
        <v>0.3548253952634432</v>
      </c>
      <c r="AZ31" s="5" t="s">
        <v>140</v>
      </c>
      <c r="BA31" s="5">
        <v>0.01</v>
      </c>
    </row>
    <row r="32" spans="2:151" s="5" customFormat="1">
      <c r="B32" s="5" t="s">
        <v>24</v>
      </c>
      <c r="C32" s="5">
        <f t="shared" ref="C32:U32" si="81">+C26/C15</f>
        <v>0.27637142696059086</v>
      </c>
      <c r="D32" s="5">
        <f t="shared" si="81"/>
        <v>0.27709102584684542</v>
      </c>
      <c r="E32" s="5">
        <f t="shared" si="81"/>
        <v>0.3654401490451793</v>
      </c>
      <c r="F32" s="5">
        <f t="shared" si="81"/>
        <v>0.39972214306070103</v>
      </c>
      <c r="G32" s="5">
        <f t="shared" si="81"/>
        <v>0.36288257995491191</v>
      </c>
      <c r="H32" s="5">
        <f t="shared" si="81"/>
        <v>0.35746466279189737</v>
      </c>
      <c r="I32" s="5">
        <f t="shared" si="81"/>
        <v>0.31692519820751464</v>
      </c>
      <c r="J32" s="5">
        <f t="shared" si="81"/>
        <v>0.30545573342045085</v>
      </c>
      <c r="K32" s="5">
        <f t="shared" si="81"/>
        <v>0.26748602551239786</v>
      </c>
      <c r="L32" s="5">
        <f t="shared" si="81"/>
        <v>0.23201026993269031</v>
      </c>
      <c r="M32" s="5">
        <f t="shared" si="81"/>
        <v>0.15858410911452694</v>
      </c>
      <c r="N32" s="5">
        <f t="shared" si="81"/>
        <v>0.1446292554018343</v>
      </c>
      <c r="O32" s="5">
        <f t="shared" si="81"/>
        <v>0.19930179787048349</v>
      </c>
      <c r="P32" s="5">
        <f t="shared" si="81"/>
        <v>0.24338260570642833</v>
      </c>
      <c r="Q32" s="5">
        <f t="shared" si="81"/>
        <v>0.33921982076963625</v>
      </c>
      <c r="R32" s="5">
        <f t="shared" si="81"/>
        <v>0.34945526164892421</v>
      </c>
      <c r="S32" s="5">
        <f t="shared" si="81"/>
        <v>0.33929502125908656</v>
      </c>
      <c r="T32" s="5">
        <f t="shared" si="81"/>
        <v>0.34462900872770086</v>
      </c>
      <c r="U32" s="5">
        <f t="shared" si="81"/>
        <v>0.38650865998176848</v>
      </c>
      <c r="V32" s="5">
        <f t="shared" ref="V32:W32" si="82">+V26/V15</f>
        <v>0.4</v>
      </c>
      <c r="W32" s="5">
        <f t="shared" si="82"/>
        <v>0.40000000000000008</v>
      </c>
      <c r="AD32" s="5">
        <f t="shared" ref="AD32:AM32" si="83">+AD26/AD15</f>
        <v>0.2358414888496711</v>
      </c>
      <c r="AE32" s="5">
        <f t="shared" si="83"/>
        <v>0.20571173583221777</v>
      </c>
      <c r="AF32" s="5">
        <f t="shared" si="83"/>
        <v>0.36967219046240685</v>
      </c>
      <c r="AG32" s="5">
        <f t="shared" si="83"/>
        <v>0.39195139350109465</v>
      </c>
      <c r="AH32" s="5">
        <f t="shared" si="83"/>
        <v>0.39600272216053584</v>
      </c>
      <c r="AI32" s="5">
        <f t="shared" si="83"/>
        <v>0.26146795479298979</v>
      </c>
      <c r="AJ32" s="5">
        <f t="shared" si="83"/>
        <v>0.33905264872158758</v>
      </c>
      <c r="AK32" s="5">
        <f t="shared" si="83"/>
        <v>0.33384494059985248</v>
      </c>
      <c r="AL32" s="5">
        <f t="shared" si="83"/>
        <v>0.19895548371051977</v>
      </c>
      <c r="AM32" s="5">
        <f t="shared" si="83"/>
        <v>0.28981994203156392</v>
      </c>
      <c r="AN32" s="5">
        <f t="shared" ref="AN32:AX32" si="84">+AN26/AN15</f>
        <v>0.37908584142345642</v>
      </c>
      <c r="AO32" s="5">
        <f t="shared" si="84"/>
        <v>0.33865737884558433</v>
      </c>
      <c r="AP32" s="5">
        <f t="shared" si="84"/>
        <v>0.33825228491134574</v>
      </c>
      <c r="AQ32" s="5">
        <f t="shared" si="84"/>
        <v>0.33489737195674818</v>
      </c>
      <c r="AR32" s="5">
        <f t="shared" si="84"/>
        <v>0.32851034085051006</v>
      </c>
      <c r="AS32" s="5">
        <f t="shared" si="84"/>
        <v>0.3321214849333643</v>
      </c>
      <c r="AT32" s="5">
        <f t="shared" si="84"/>
        <v>0.3344048647399816</v>
      </c>
      <c r="AU32" s="5">
        <f t="shared" si="84"/>
        <v>0.33538895342518121</v>
      </c>
      <c r="AV32" s="5">
        <f t="shared" si="84"/>
        <v>0.33509915370265386</v>
      </c>
      <c r="AW32" s="5">
        <f t="shared" si="84"/>
        <v>0.33355789548658521</v>
      </c>
      <c r="AX32" s="5">
        <f t="shared" si="84"/>
        <v>0.34645487887978321</v>
      </c>
      <c r="AZ32" s="5" t="s">
        <v>139</v>
      </c>
      <c r="BA32" s="5">
        <v>0.09</v>
      </c>
    </row>
    <row r="33" spans="2:59" s="5" customFormat="1">
      <c r="B33" s="5" t="s">
        <v>23</v>
      </c>
      <c r="C33" s="5">
        <f t="shared" ref="C33:E33" si="85">+C25/C24</f>
        <v>0.16362395495649207</v>
      </c>
      <c r="D33" s="5">
        <f t="shared" si="85"/>
        <v>0.15543956940140272</v>
      </c>
      <c r="E33" s="5">
        <f t="shared" si="85"/>
        <v>3.5288331488995447E-2</v>
      </c>
      <c r="F33" s="5">
        <f t="shared" ref="F33" si="86">+F25/F24</f>
        <v>0.14054840686274508</v>
      </c>
      <c r="G33" s="5">
        <f t="shared" ref="G33:I33" si="87">+G25/G24</f>
        <v>0.17438928975049986</v>
      </c>
      <c r="H33" s="5">
        <f t="shared" si="87"/>
        <v>0.16934388236234316</v>
      </c>
      <c r="I33" s="5">
        <f t="shared" si="87"/>
        <v>0.12976810222432561</v>
      </c>
      <c r="J33" s="5">
        <f t="shared" ref="J33" si="88">+J25/J24</f>
        <v>0.19034873651893253</v>
      </c>
      <c r="K33" s="5">
        <f t="shared" ref="K33:S33" si="89">+K25/K24</f>
        <v>0.1619892231701841</v>
      </c>
      <c r="L33" s="5">
        <f t="shared" si="89"/>
        <v>0.18311751771316884</v>
      </c>
      <c r="M33" s="5">
        <f t="shared" si="89"/>
        <v>0.21180057388809181</v>
      </c>
      <c r="N33" s="5">
        <f t="shared" si="89"/>
        <v>0.24345422019840623</v>
      </c>
      <c r="O33" s="5">
        <f t="shared" si="89"/>
        <v>0.21869440262761736</v>
      </c>
      <c r="P33" s="5">
        <f t="shared" si="89"/>
        <v>0.16194985472936618</v>
      </c>
      <c r="Q33" s="5">
        <f t="shared" si="89"/>
        <v>0.1738231098430813</v>
      </c>
      <c r="R33" s="5">
        <f t="shared" si="89"/>
        <v>0.16605188005711566</v>
      </c>
      <c r="S33" s="5">
        <f t="shared" si="89"/>
        <v>0.12789959811041388</v>
      </c>
      <c r="T33" s="5">
        <f t="shared" ref="T33:U33" si="90">+T25/T24</f>
        <v>0.10863233152389778</v>
      </c>
      <c r="U33" s="5">
        <f t="shared" si="90"/>
        <v>0.11973964762652901</v>
      </c>
      <c r="V33" s="5">
        <f t="shared" ref="V33:W33" si="91">+V25/V24</f>
        <v>0.115234375</v>
      </c>
      <c r="W33" s="5">
        <f t="shared" si="91"/>
        <v>9.4549015341094556E-2</v>
      </c>
      <c r="AD33" s="5">
        <f t="shared" ref="AD33:AM33" si="92">+AD25/AD24</f>
        <v>0.40122199592668023</v>
      </c>
      <c r="AE33" s="5">
        <f t="shared" si="92"/>
        <v>0.4045850823377462</v>
      </c>
      <c r="AF33" s="5">
        <f t="shared" si="92"/>
        <v>0.18381530595941845</v>
      </c>
      <c r="AG33" s="5">
        <f t="shared" si="92"/>
        <v>0.22627949888316987</v>
      </c>
      <c r="AH33" s="5">
        <f t="shared" si="92"/>
        <v>0.12811009029612397</v>
      </c>
      <c r="AI33" s="5">
        <f t="shared" si="92"/>
        <v>0.25499758181525067</v>
      </c>
      <c r="AJ33" s="5">
        <f t="shared" si="92"/>
        <v>0.12157560049425876</v>
      </c>
      <c r="AK33" s="5">
        <f t="shared" si="92"/>
        <v>0.16737162676592504</v>
      </c>
      <c r="AL33" s="5">
        <f t="shared" si="92"/>
        <v>0.19497553697213643</v>
      </c>
      <c r="AM33" s="5">
        <f t="shared" si="92"/>
        <v>0.17563834946338583</v>
      </c>
      <c r="AN33" s="5">
        <f>+AN25/AN24</f>
        <v>0.11750137978857393</v>
      </c>
      <c r="AO33" s="5">
        <f t="shared" ref="AO33:AX33" si="93">+AO25/AO24</f>
        <v>0.2</v>
      </c>
      <c r="AP33" s="5">
        <f t="shared" si="93"/>
        <v>0.20000000000000004</v>
      </c>
      <c r="AQ33" s="5">
        <f t="shared" si="93"/>
        <v>0.19999999999999998</v>
      </c>
      <c r="AR33" s="5">
        <f t="shared" si="93"/>
        <v>0.2</v>
      </c>
      <c r="AS33" s="5">
        <f t="shared" si="93"/>
        <v>0.20000000000000004</v>
      </c>
      <c r="AT33" s="5">
        <f t="shared" si="93"/>
        <v>0.2</v>
      </c>
      <c r="AU33" s="5">
        <f t="shared" si="93"/>
        <v>0.2</v>
      </c>
      <c r="AV33" s="5">
        <f t="shared" si="93"/>
        <v>0.2</v>
      </c>
      <c r="AW33" s="5">
        <f t="shared" si="93"/>
        <v>0.2</v>
      </c>
      <c r="AX33" s="5">
        <f t="shared" si="93"/>
        <v>0.2</v>
      </c>
      <c r="AZ33" s="5" t="s">
        <v>128</v>
      </c>
      <c r="BA33" s="1">
        <f>+NPV(BA32,AO26:EU26)+Main!M6-Main!M7</f>
        <v>1515325.3916682384</v>
      </c>
    </row>
    <row r="34" spans="2:59" s="5" customFormat="1">
      <c r="B34" s="5" t="s">
        <v>133</v>
      </c>
      <c r="AD34" s="5">
        <f>+AD18/AD15</f>
        <v>0.21386170383442965</v>
      </c>
      <c r="AE34" s="5">
        <f t="shared" ref="AE34:AX34" si="94">+AE18/AE15</f>
        <v>0.26863007585899151</v>
      </c>
      <c r="AF34" s="5">
        <f t="shared" si="94"/>
        <v>0.21416166148057023</v>
      </c>
      <c r="AG34" s="5">
        <f t="shared" si="94"/>
        <v>0.19073623102846038</v>
      </c>
      <c r="AH34" s="5">
        <f t="shared" si="94"/>
        <v>0.18397865253053475</v>
      </c>
      <c r="AI34" s="5">
        <f t="shared" si="94"/>
        <v>0.19237025616362788</v>
      </c>
      <c r="AJ34" s="5">
        <f t="shared" si="94"/>
        <v>0.21458483586534211</v>
      </c>
      <c r="AK34" s="5">
        <f t="shared" si="94"/>
        <v>0.20906647219937419</v>
      </c>
      <c r="AL34" s="5">
        <f t="shared" si="94"/>
        <v>0.30304693462768739</v>
      </c>
      <c r="AM34" s="5">
        <f t="shared" si="94"/>
        <v>0.28526845612708579</v>
      </c>
      <c r="AN34" s="5">
        <f t="shared" si="94"/>
        <v>0.26670354587510109</v>
      </c>
      <c r="AO34" s="5">
        <f t="shared" si="94"/>
        <v>0.28832815770281195</v>
      </c>
      <c r="AP34" s="5">
        <f t="shared" si="94"/>
        <v>0.3117061164354723</v>
      </c>
      <c r="AQ34" s="5">
        <f t="shared" si="94"/>
        <v>0.3369795853356457</v>
      </c>
      <c r="AR34" s="5">
        <f t="shared" si="94"/>
        <v>0.36430225441691427</v>
      </c>
      <c r="AS34" s="5">
        <f t="shared" si="94"/>
        <v>0.37743026358509124</v>
      </c>
      <c r="AT34" s="5">
        <f t="shared" si="94"/>
        <v>0.39103135416473411</v>
      </c>
      <c r="AU34" s="5">
        <f t="shared" si="94"/>
        <v>0.40512257413463443</v>
      </c>
      <c r="AV34" s="5">
        <f t="shared" si="94"/>
        <v>0.41972158581516167</v>
      </c>
      <c r="AW34" s="5">
        <f t="shared" si="94"/>
        <v>0.43484668800669896</v>
      </c>
      <c r="AX34" s="5">
        <f t="shared" si="94"/>
        <v>0.43092915027690881</v>
      </c>
      <c r="AZ34" s="1" t="s">
        <v>129</v>
      </c>
      <c r="BA34" s="7">
        <f>+BA33/Main!M4</f>
        <v>585.06771879082567</v>
      </c>
    </row>
    <row r="35" spans="2:59">
      <c r="AZ35" s="5" t="s">
        <v>130</v>
      </c>
      <c r="BA35" s="7">
        <f>+Main!M3</f>
        <v>581.66</v>
      </c>
    </row>
    <row r="36" spans="2:59" s="9" customFormat="1">
      <c r="B36" s="9" t="s">
        <v>25</v>
      </c>
      <c r="G36" s="9">
        <f>+G15/C15-1</f>
        <v>0.47550318543158365</v>
      </c>
      <c r="H36" s="9">
        <f>+H15/F15-1</f>
        <v>3.58007979481334E-2</v>
      </c>
      <c r="I36" s="9">
        <f>+I15/E15-1</f>
        <v>0.35118770377270603</v>
      </c>
      <c r="J36" s="9">
        <f>+J15/F15-1</f>
        <v>0.19945141065830718</v>
      </c>
      <c r="K36" s="9">
        <f>+K15/G15-1</f>
        <v>6.6371174200450911E-2</v>
      </c>
      <c r="L36" s="9">
        <f>+L15/J15-1</f>
        <v>-0.14401116687951054</v>
      </c>
      <c r="M36" s="9">
        <f t="shared" ref="M36:W36" si="95">+M15/I15-1</f>
        <v>-4.4674250258531556E-2</v>
      </c>
      <c r="N36" s="9">
        <f t="shared" si="95"/>
        <v>-4.4726916337501144E-2</v>
      </c>
      <c r="O36" s="9">
        <f t="shared" si="95"/>
        <v>2.6408198366060009E-2</v>
      </c>
      <c r="P36" s="9">
        <f t="shared" si="95"/>
        <v>0.11022829782804799</v>
      </c>
      <c r="Q36" s="9">
        <f t="shared" si="95"/>
        <v>0.23208486685429741</v>
      </c>
      <c r="R36" s="9">
        <f t="shared" si="95"/>
        <v>0.24703870666873939</v>
      </c>
      <c r="S36" s="9">
        <f t="shared" si="95"/>
        <v>0.27264793157619138</v>
      </c>
      <c r="T36" s="9">
        <f t="shared" si="95"/>
        <v>0.2210069064658271</v>
      </c>
      <c r="U36" s="9">
        <f t="shared" si="95"/>
        <v>0.18868974404029748</v>
      </c>
      <c r="V36" s="9">
        <f t="shared" si="95"/>
        <v>0.20630251053327009</v>
      </c>
      <c r="W36" s="9">
        <f t="shared" si="95"/>
        <v>0.16071869428062002</v>
      </c>
      <c r="AE36" s="9">
        <f t="shared" ref="AE36:AN36" si="96">+AE15/AD15-1</f>
        <v>0.43815177282207607</v>
      </c>
      <c r="AF36" s="9">
        <f t="shared" si="96"/>
        <v>0.54161088799643009</v>
      </c>
      <c r="AG36" s="9">
        <f t="shared" si="96"/>
        <v>0.47090961719371882</v>
      </c>
      <c r="AH36" s="9">
        <f t="shared" si="96"/>
        <v>0.37352716896661997</v>
      </c>
      <c r="AI36" s="9">
        <f t="shared" si="96"/>
        <v>0.26610910132884413</v>
      </c>
      <c r="AJ36" s="9">
        <f t="shared" si="96"/>
        <v>0.21597804715900248</v>
      </c>
      <c r="AK36" s="9">
        <f t="shared" si="96"/>
        <v>0.37180978526394148</v>
      </c>
      <c r="AL36" s="9">
        <f t="shared" si="96"/>
        <v>-1.1193175554782941E-2</v>
      </c>
      <c r="AM36" s="9">
        <f t="shared" si="96"/>
        <v>0.15686610810486323</v>
      </c>
      <c r="AN36" s="9">
        <f t="shared" si="96"/>
        <v>0.21942016738200598</v>
      </c>
      <c r="AO36" s="9">
        <f t="shared" ref="AO36" si="97">+AO15/AN15-1</f>
        <v>0.1100000000000001</v>
      </c>
      <c r="AP36" s="9">
        <f t="shared" ref="AP36" si="98">+AP15/AO15-1</f>
        <v>0.1100000000000001</v>
      </c>
      <c r="AQ36" s="9">
        <f t="shared" ref="AQ36" si="99">+AQ15/AP15-1</f>
        <v>0.1100000000000001</v>
      </c>
      <c r="AR36" s="9">
        <f t="shared" ref="AR36" si="100">+AR15/AQ15-1</f>
        <v>0.1100000000000001</v>
      </c>
      <c r="AS36" s="9">
        <f t="shared" ref="AS36" si="101">+AS15/AR15-1</f>
        <v>0.1100000000000001</v>
      </c>
      <c r="AT36" s="9">
        <f t="shared" ref="AT36" si="102">+AT15/AS15-1</f>
        <v>0.1100000000000001</v>
      </c>
      <c r="AU36" s="9">
        <f t="shared" ref="AU36" si="103">+AU15/AT15-1</f>
        <v>0.1100000000000001</v>
      </c>
      <c r="AV36" s="9">
        <f t="shared" ref="AV36" si="104">+AV15/AU15-1</f>
        <v>0.1100000000000001</v>
      </c>
      <c r="AW36" s="9">
        <f t="shared" ref="AW36" si="105">+AW15/AV15-1</f>
        <v>0.1100000000000001</v>
      </c>
      <c r="AX36" s="9">
        <f t="shared" ref="AX36" si="106">+AX15/AW15-1</f>
        <v>0.1100000000000001</v>
      </c>
      <c r="AZ36" s="1" t="s">
        <v>131</v>
      </c>
      <c r="BA36" s="5">
        <f>+BA34/BA35-1</f>
        <v>5.8586094811843292E-3</v>
      </c>
    </row>
    <row r="37" spans="2:59" s="9" customFormat="1">
      <c r="BF37" s="1"/>
      <c r="BG37" s="1"/>
    </row>
    <row r="38" spans="2:59" s="5" customFormat="1">
      <c r="U38" s="5">
        <f>+SUM(R23:U23)/U39</f>
        <v>3.6124248401739667E-2</v>
      </c>
      <c r="BF38" s="1"/>
      <c r="BG38" s="1"/>
    </row>
    <row r="39" spans="2:59">
      <c r="B39" s="1" t="s">
        <v>39</v>
      </c>
      <c r="K39" s="1">
        <f t="shared" ref="K39:S39" si="107">+K40-K52</f>
        <v>43890</v>
      </c>
      <c r="L39" s="1">
        <f t="shared" si="107"/>
        <v>40489</v>
      </c>
      <c r="M39" s="1">
        <f t="shared" si="107"/>
        <v>31854</v>
      </c>
      <c r="N39" s="1">
        <f t="shared" si="107"/>
        <v>30815</v>
      </c>
      <c r="O39" s="1">
        <f t="shared" si="107"/>
        <v>27514</v>
      </c>
      <c r="P39" s="1">
        <f t="shared" si="107"/>
        <v>35064</v>
      </c>
      <c r="Q39" s="1">
        <f t="shared" si="107"/>
        <v>42740</v>
      </c>
      <c r="R39" s="1">
        <f t="shared" si="107"/>
        <v>47018</v>
      </c>
      <c r="S39" s="1">
        <f t="shared" si="107"/>
        <v>39733</v>
      </c>
      <c r="T39" s="1">
        <f t="shared" ref="T39:U39" si="108">+T40-T52</f>
        <v>39691</v>
      </c>
      <c r="U39" s="1">
        <f t="shared" si="108"/>
        <v>42077</v>
      </c>
      <c r="V39" s="1">
        <f t="shared" ref="V39:W39" si="109">+V40-V52</f>
        <v>48989</v>
      </c>
      <c r="W39" s="1">
        <f t="shared" si="109"/>
        <v>41401</v>
      </c>
      <c r="AL39" s="5"/>
      <c r="AM39" s="1">
        <f>+U39</f>
        <v>42077</v>
      </c>
      <c r="AN39" s="1">
        <f>+V39</f>
        <v>48989</v>
      </c>
      <c r="AO39" s="1">
        <f>+AN39+AO26</f>
        <v>110826.51999999999</v>
      </c>
      <c r="AP39" s="1">
        <f t="shared" ref="AP39:AX39" si="110">+AO39+AP26</f>
        <v>179384.06208</v>
      </c>
      <c r="AQ39" s="1">
        <f t="shared" si="110"/>
        <v>254728.15665376006</v>
      </c>
      <c r="AR39" s="1">
        <f t="shared" si="110"/>
        <v>336765.10603266442</v>
      </c>
      <c r="AS39" s="1">
        <f t="shared" si="110"/>
        <v>428827.1064190421</v>
      </c>
      <c r="AT39" s="1">
        <f t="shared" si="110"/>
        <v>531718.48871041613</v>
      </c>
      <c r="AU39" s="1">
        <f t="shared" si="110"/>
        <v>646264.01927710592</v>
      </c>
      <c r="AV39" s="1">
        <f t="shared" si="110"/>
        <v>773299.69548845442</v>
      </c>
      <c r="AW39" s="1">
        <f t="shared" si="110"/>
        <v>913660.73519276071</v>
      </c>
      <c r="AX39" s="1">
        <f t="shared" si="110"/>
        <v>1075485.5101769532</v>
      </c>
    </row>
    <row r="40" spans="2:59">
      <c r="B40" s="1" t="s">
        <v>5</v>
      </c>
      <c r="K40" s="1">
        <f>14886+29004</f>
        <v>43890</v>
      </c>
      <c r="L40" s="1">
        <f>12681+27808</f>
        <v>40489</v>
      </c>
      <c r="M40" s="1">
        <f>14308+27468</f>
        <v>41776</v>
      </c>
      <c r="N40" s="1">
        <f>14681+26057</f>
        <v>40738</v>
      </c>
      <c r="O40" s="1">
        <f>11551+25888</f>
        <v>37439</v>
      </c>
      <c r="P40" s="1">
        <f>28785+24661</f>
        <v>53446</v>
      </c>
      <c r="Q40" s="1">
        <f>36890+24233</f>
        <v>61123</v>
      </c>
      <c r="R40" s="1">
        <f>41862+23541</f>
        <v>65403</v>
      </c>
      <c r="S40" s="1">
        <f>32307+25813</f>
        <v>58120</v>
      </c>
      <c r="T40" s="1">
        <f>32045+26035</f>
        <v>58080</v>
      </c>
      <c r="U40" s="1">
        <f>43852+27048</f>
        <v>70900</v>
      </c>
      <c r="V40" s="1">
        <f>43889+33926</f>
        <v>77815</v>
      </c>
      <c r="W40" s="1">
        <f>28750+41480</f>
        <v>70230</v>
      </c>
    </row>
    <row r="41" spans="2:59">
      <c r="B41" s="1" t="s">
        <v>45</v>
      </c>
      <c r="K41" s="1">
        <v>11390</v>
      </c>
      <c r="L41" s="1">
        <v>11525</v>
      </c>
      <c r="M41" s="1">
        <v>11227</v>
      </c>
      <c r="N41" s="1">
        <v>13466</v>
      </c>
      <c r="O41" s="1">
        <v>11044</v>
      </c>
      <c r="P41" s="1">
        <v>12511</v>
      </c>
      <c r="Q41" s="1">
        <v>12944</v>
      </c>
      <c r="R41" s="1">
        <v>16169</v>
      </c>
      <c r="S41" s="1">
        <v>13430</v>
      </c>
      <c r="T41" s="1">
        <v>14505</v>
      </c>
      <c r="U41" s="1">
        <v>14700</v>
      </c>
      <c r="V41" s="1">
        <v>16994</v>
      </c>
      <c r="W41" s="1">
        <v>14514</v>
      </c>
    </row>
    <row r="42" spans="2:59">
      <c r="B42" s="1" t="s">
        <v>46</v>
      </c>
      <c r="K42" s="1">
        <v>3985</v>
      </c>
      <c r="L42" s="1">
        <v>3973</v>
      </c>
      <c r="M42" s="1">
        <v>5312</v>
      </c>
      <c r="N42" s="1">
        <v>5345</v>
      </c>
      <c r="O42" s="1">
        <v>4000</v>
      </c>
      <c r="P42" s="1">
        <v>3603</v>
      </c>
      <c r="Q42" s="1">
        <v>4311</v>
      </c>
      <c r="R42" s="1">
        <v>3793</v>
      </c>
      <c r="S42" s="1">
        <v>3780</v>
      </c>
      <c r="T42" s="1">
        <v>3846</v>
      </c>
      <c r="U42" s="1">
        <v>5467</v>
      </c>
      <c r="V42" s="1">
        <v>5236</v>
      </c>
      <c r="W42" s="1">
        <v>5483</v>
      </c>
    </row>
    <row r="43" spans="2:59">
      <c r="B43" s="1" t="s">
        <v>74</v>
      </c>
      <c r="K43" s="1">
        <v>6775</v>
      </c>
      <c r="L43" s="1">
        <v>6536</v>
      </c>
      <c r="M43" s="1">
        <v>6528</v>
      </c>
      <c r="N43" s="1">
        <v>6201</v>
      </c>
      <c r="O43" s="1">
        <v>6167</v>
      </c>
      <c r="P43" s="1">
        <v>6208</v>
      </c>
      <c r="Q43" s="1">
        <v>6142</v>
      </c>
      <c r="R43" s="1">
        <v>6141</v>
      </c>
      <c r="S43" s="1">
        <v>6218</v>
      </c>
      <c r="T43" s="1">
        <v>6207</v>
      </c>
      <c r="U43" s="1">
        <v>6071</v>
      </c>
      <c r="V43" s="1">
        <v>6070</v>
      </c>
      <c r="W43" s="1">
        <v>6168</v>
      </c>
    </row>
    <row r="44" spans="2:59">
      <c r="B44" s="1" t="s">
        <v>47</v>
      </c>
      <c r="K44" s="1">
        <v>61582</v>
      </c>
      <c r="L44" s="1">
        <v>67588</v>
      </c>
      <c r="M44" s="1">
        <v>73738</v>
      </c>
      <c r="N44" s="1">
        <v>79518</v>
      </c>
      <c r="O44" s="1">
        <v>84156</v>
      </c>
      <c r="P44" s="1">
        <v>87949</v>
      </c>
      <c r="Q44" s="1">
        <v>91772</v>
      </c>
      <c r="R44" s="1">
        <v>96587</v>
      </c>
      <c r="S44" s="1">
        <v>98908</v>
      </c>
      <c r="T44" s="1">
        <v>102959</v>
      </c>
      <c r="U44" s="1">
        <v>112162</v>
      </c>
      <c r="V44" s="1">
        <v>121346</v>
      </c>
      <c r="W44" s="1">
        <v>133567</v>
      </c>
    </row>
    <row r="45" spans="2:59">
      <c r="B45" s="1" t="s">
        <v>48</v>
      </c>
      <c r="K45" s="1">
        <v>12241</v>
      </c>
      <c r="L45" s="1">
        <v>14130</v>
      </c>
      <c r="M45" s="1">
        <v>13641</v>
      </c>
      <c r="N45" s="1">
        <v>12673</v>
      </c>
      <c r="O45" s="1">
        <v>12899</v>
      </c>
      <c r="P45" s="1">
        <v>12955</v>
      </c>
      <c r="Q45" s="1">
        <v>13033</v>
      </c>
      <c r="R45" s="1">
        <v>13294</v>
      </c>
      <c r="S45" s="1">
        <v>13555</v>
      </c>
      <c r="T45" s="1">
        <v>14058</v>
      </c>
      <c r="U45" s="1">
        <v>14812</v>
      </c>
      <c r="V45" s="1">
        <v>14922</v>
      </c>
      <c r="W45" s="1">
        <v>15505</v>
      </c>
      <c r="BF45" s="8"/>
      <c r="BG45" s="8"/>
    </row>
    <row r="46" spans="2:59">
      <c r="B46" s="1" t="s">
        <v>49</v>
      </c>
      <c r="K46" s="1">
        <f>910+19923</f>
        <v>20833</v>
      </c>
      <c r="L46" s="1">
        <f>965+20229</f>
        <v>21194</v>
      </c>
      <c r="M46" s="1">
        <f>875+20268</f>
        <v>21143</v>
      </c>
      <c r="N46" s="1">
        <f>897+20306</f>
        <v>21203</v>
      </c>
      <c r="O46" s="1">
        <f>949+20649</f>
        <v>21598</v>
      </c>
      <c r="P46" s="1">
        <f>856+20659</f>
        <v>21515</v>
      </c>
      <c r="Q46" s="1">
        <f>813+20668</f>
        <v>21481</v>
      </c>
      <c r="R46" s="1">
        <f>788+20654</f>
        <v>21442</v>
      </c>
      <c r="S46" s="1">
        <v>20654</v>
      </c>
      <c r="T46" s="1">
        <v>20654</v>
      </c>
      <c r="U46" s="1">
        <v>20654</v>
      </c>
      <c r="V46" s="1">
        <v>20654</v>
      </c>
      <c r="W46" s="1">
        <v>20654</v>
      </c>
    </row>
    <row r="47" spans="2:59">
      <c r="B47" s="1" t="s">
        <v>50</v>
      </c>
      <c r="K47" s="1">
        <v>3522</v>
      </c>
      <c r="L47" s="1">
        <v>4344</v>
      </c>
      <c r="M47" s="1">
        <v>5529</v>
      </c>
      <c r="N47" s="1">
        <v>6583</v>
      </c>
      <c r="O47" s="1">
        <v>7188</v>
      </c>
      <c r="P47" s="1">
        <v>8501</v>
      </c>
      <c r="Q47" s="1">
        <v>5468</v>
      </c>
      <c r="R47" s="1">
        <v>6794</v>
      </c>
      <c r="S47" s="1">
        <v>8179</v>
      </c>
      <c r="T47" s="1">
        <v>9929</v>
      </c>
      <c r="U47" s="1">
        <v>11642</v>
      </c>
      <c r="V47" s="1">
        <v>13017</v>
      </c>
      <c r="W47" s="1">
        <v>14092</v>
      </c>
    </row>
    <row r="48" spans="2:59" s="8" customFormat="1">
      <c r="B48" s="8" t="s">
        <v>43</v>
      </c>
      <c r="K48" s="8">
        <f t="shared" ref="K48:S48" si="111">+SUM(K40:K47)</f>
        <v>164218</v>
      </c>
      <c r="L48" s="8">
        <f t="shared" si="111"/>
        <v>169779</v>
      </c>
      <c r="M48" s="8">
        <f t="shared" si="111"/>
        <v>178894</v>
      </c>
      <c r="N48" s="8">
        <f t="shared" si="111"/>
        <v>185727</v>
      </c>
      <c r="O48" s="8">
        <f t="shared" si="111"/>
        <v>184491</v>
      </c>
      <c r="P48" s="8">
        <f t="shared" si="111"/>
        <v>206688</v>
      </c>
      <c r="Q48" s="8">
        <f t="shared" si="111"/>
        <v>216274</v>
      </c>
      <c r="R48" s="8">
        <f t="shared" si="111"/>
        <v>229623</v>
      </c>
      <c r="S48" s="8">
        <f t="shared" si="111"/>
        <v>222844</v>
      </c>
      <c r="T48" s="8">
        <f t="shared" ref="T48:U48" si="112">+SUM(T40:T47)</f>
        <v>230238</v>
      </c>
      <c r="U48" s="8">
        <f t="shared" si="112"/>
        <v>256408</v>
      </c>
      <c r="V48" s="8">
        <f t="shared" ref="V48:W48" si="113">+SUM(V40:V47)</f>
        <v>276054</v>
      </c>
      <c r="W48" s="8">
        <f t="shared" si="113"/>
        <v>280213</v>
      </c>
      <c r="BF48" s="1"/>
      <c r="BG48" s="1"/>
    </row>
    <row r="49" spans="2:59">
      <c r="B49" s="1" t="s">
        <v>44</v>
      </c>
      <c r="K49" s="1">
        <v>3246</v>
      </c>
      <c r="L49" s="1">
        <v>4008</v>
      </c>
      <c r="M49" s="1">
        <v>3871</v>
      </c>
      <c r="N49" s="1">
        <v>4990</v>
      </c>
      <c r="O49" s="1">
        <v>3672</v>
      </c>
      <c r="P49" s="1">
        <v>3093</v>
      </c>
      <c r="Q49" s="1">
        <v>4372</v>
      </c>
      <c r="R49" s="1">
        <v>4849</v>
      </c>
      <c r="S49" s="1">
        <v>3785</v>
      </c>
      <c r="T49" s="1">
        <v>3173</v>
      </c>
      <c r="U49" s="1">
        <v>7656</v>
      </c>
      <c r="V49" s="1">
        <v>7687</v>
      </c>
      <c r="W49" s="1">
        <v>8512</v>
      </c>
    </row>
    <row r="50" spans="2:59">
      <c r="B50" s="1" t="s">
        <v>48</v>
      </c>
      <c r="K50" s="1">
        <f>1159+12894</f>
        <v>14053</v>
      </c>
      <c r="L50" s="1">
        <f>1275+14792</f>
        <v>16067</v>
      </c>
      <c r="M50" s="1">
        <f>1291+14687</f>
        <v>15978</v>
      </c>
      <c r="N50" s="1">
        <f>1367+15301</f>
        <v>16668</v>
      </c>
      <c r="O50" s="1">
        <f>1479+16171</f>
        <v>17650</v>
      </c>
      <c r="P50" s="1">
        <f>1396+16440</f>
        <v>17836</v>
      </c>
      <c r="Q50" s="1">
        <f>1460+16374</f>
        <v>17834</v>
      </c>
      <c r="R50" s="1">
        <f>1623+17226</f>
        <v>18849</v>
      </c>
      <c r="S50" s="1">
        <f>1676+17570</f>
        <v>19246</v>
      </c>
      <c r="T50" s="1">
        <f>1917+17685</f>
        <v>19602</v>
      </c>
      <c r="U50" s="1">
        <f>2016+18208</f>
        <v>20224</v>
      </c>
      <c r="V50" s="1">
        <f>1942+18292</f>
        <v>20234</v>
      </c>
      <c r="W50" s="1">
        <f>1976+18714</f>
        <v>20690</v>
      </c>
    </row>
    <row r="51" spans="2:59">
      <c r="B51" s="1" t="s">
        <v>52</v>
      </c>
      <c r="K51" s="1">
        <v>16681</v>
      </c>
      <c r="L51" s="1">
        <v>16934</v>
      </c>
      <c r="M51" s="1">
        <v>17525</v>
      </c>
      <c r="N51" s="1">
        <v>20669</v>
      </c>
      <c r="O51" s="1">
        <v>20230</v>
      </c>
      <c r="P51" s="1">
        <v>25432</v>
      </c>
      <c r="Q51" s="1">
        <v>24699</v>
      </c>
      <c r="R51" s="1">
        <v>25488</v>
      </c>
      <c r="S51" s="1">
        <v>22640</v>
      </c>
      <c r="T51" s="1">
        <v>21914</v>
      </c>
      <c r="U51" s="1">
        <v>23658</v>
      </c>
      <c r="V51" s="1">
        <v>23967</v>
      </c>
      <c r="W51" s="1">
        <v>23402</v>
      </c>
    </row>
    <row r="52" spans="2:59">
      <c r="B52" s="1" t="s">
        <v>6</v>
      </c>
      <c r="K52" s="1">
        <v>0</v>
      </c>
      <c r="L52" s="1">
        <v>0</v>
      </c>
      <c r="M52" s="1">
        <v>9922</v>
      </c>
      <c r="N52" s="1">
        <v>9923</v>
      </c>
      <c r="O52" s="1">
        <v>9925</v>
      </c>
      <c r="P52" s="1">
        <v>18382</v>
      </c>
      <c r="Q52" s="1">
        <v>18383</v>
      </c>
      <c r="R52" s="1">
        <v>18385</v>
      </c>
      <c r="S52" s="1">
        <v>18387</v>
      </c>
      <c r="T52" s="1">
        <v>18389</v>
      </c>
      <c r="U52" s="1">
        <v>28823</v>
      </c>
      <c r="V52" s="1">
        <v>28826</v>
      </c>
      <c r="W52" s="1">
        <v>28829</v>
      </c>
      <c r="BF52" s="8"/>
      <c r="BG52" s="8"/>
    </row>
    <row r="53" spans="2:59">
      <c r="B53" s="1" t="s">
        <v>18</v>
      </c>
      <c r="K53" s="1">
        <v>5897</v>
      </c>
      <c r="L53" s="1">
        <v>5843</v>
      </c>
      <c r="M53" s="1">
        <v>6393</v>
      </c>
      <c r="N53" s="1">
        <v>6645</v>
      </c>
      <c r="O53" s="1">
        <v>6946</v>
      </c>
      <c r="P53" s="1">
        <v>6570</v>
      </c>
      <c r="Q53" s="1">
        <v>6832</v>
      </c>
      <c r="R53" s="1">
        <v>7514</v>
      </c>
      <c r="S53" s="1">
        <v>7795</v>
      </c>
      <c r="T53" s="1">
        <v>7897</v>
      </c>
      <c r="U53" s="1">
        <v>9171</v>
      </c>
      <c r="V53" s="1">
        <v>9987</v>
      </c>
      <c r="W53" s="1">
        <v>10991</v>
      </c>
    </row>
    <row r="54" spans="2:59">
      <c r="B54" s="1" t="s">
        <v>50</v>
      </c>
      <c r="K54" s="1">
        <v>1113</v>
      </c>
      <c r="L54" s="1">
        <v>1160</v>
      </c>
      <c r="M54" s="1">
        <v>1111</v>
      </c>
      <c r="N54" s="1">
        <v>1119</v>
      </c>
      <c r="O54" s="1">
        <v>1273</v>
      </c>
      <c r="P54" s="1">
        <v>1342</v>
      </c>
      <c r="Q54" s="1">
        <v>1281</v>
      </c>
      <c r="R54" s="1">
        <v>1370</v>
      </c>
      <c r="S54" s="1">
        <v>1462</v>
      </c>
      <c r="T54" s="1">
        <v>2500</v>
      </c>
      <c r="U54" s="1">
        <v>2347</v>
      </c>
      <c r="V54" s="1">
        <v>2716</v>
      </c>
      <c r="W54" s="1">
        <v>2760</v>
      </c>
    </row>
    <row r="55" spans="2:59" s="8" customFormat="1">
      <c r="B55" s="8" t="s">
        <v>42</v>
      </c>
      <c r="K55" s="8">
        <f t="shared" ref="K55:S55" si="114">+SUM(K49:K54)</f>
        <v>40990</v>
      </c>
      <c r="L55" s="8">
        <f t="shared" si="114"/>
        <v>44012</v>
      </c>
      <c r="M55" s="8">
        <f t="shared" si="114"/>
        <v>54800</v>
      </c>
      <c r="N55" s="8">
        <f t="shared" si="114"/>
        <v>60014</v>
      </c>
      <c r="O55" s="8">
        <f t="shared" si="114"/>
        <v>59696</v>
      </c>
      <c r="P55" s="8">
        <f t="shared" si="114"/>
        <v>72655</v>
      </c>
      <c r="Q55" s="8">
        <f t="shared" si="114"/>
        <v>73401</v>
      </c>
      <c r="R55" s="8">
        <f t="shared" si="114"/>
        <v>76455</v>
      </c>
      <c r="S55" s="8">
        <f t="shared" si="114"/>
        <v>73315</v>
      </c>
      <c r="T55" s="8">
        <f t="shared" ref="T55:U55" si="115">+SUM(T49:T54)</f>
        <v>73475</v>
      </c>
      <c r="U55" s="8">
        <f t="shared" si="115"/>
        <v>91879</v>
      </c>
      <c r="V55" s="8">
        <f t="shared" ref="V55:W55" si="116">+SUM(V49:V54)</f>
        <v>93417</v>
      </c>
      <c r="W55" s="8">
        <f t="shared" si="116"/>
        <v>95184</v>
      </c>
      <c r="BF55" s="1"/>
      <c r="BG55" s="1"/>
    </row>
    <row r="56" spans="2:59">
      <c r="B56" s="1" t="s">
        <v>41</v>
      </c>
      <c r="K56" s="1">
        <f t="shared" ref="K56:S56" si="117">+K48-K55</f>
        <v>123228</v>
      </c>
      <c r="L56" s="1">
        <f t="shared" si="117"/>
        <v>125767</v>
      </c>
      <c r="M56" s="1">
        <f t="shared" si="117"/>
        <v>124094</v>
      </c>
      <c r="N56" s="1">
        <f t="shared" si="117"/>
        <v>125713</v>
      </c>
      <c r="O56" s="1">
        <f t="shared" si="117"/>
        <v>124795</v>
      </c>
      <c r="P56" s="1">
        <f t="shared" si="117"/>
        <v>134033</v>
      </c>
      <c r="Q56" s="1">
        <f t="shared" si="117"/>
        <v>142873</v>
      </c>
      <c r="R56" s="1">
        <f t="shared" si="117"/>
        <v>153168</v>
      </c>
      <c r="S56" s="1">
        <f t="shared" si="117"/>
        <v>149529</v>
      </c>
      <c r="T56" s="1">
        <f t="shared" ref="T56" si="118">+T48-T55</f>
        <v>156763</v>
      </c>
      <c r="U56" s="1">
        <v>164529</v>
      </c>
      <c r="V56" s="1">
        <v>182637</v>
      </c>
      <c r="W56" s="1">
        <v>185029</v>
      </c>
    </row>
    <row r="57" spans="2:59">
      <c r="B57" s="1" t="s">
        <v>40</v>
      </c>
      <c r="K57" s="1">
        <f t="shared" ref="K57:S57" si="119">+K56+K55</f>
        <v>164218</v>
      </c>
      <c r="L57" s="1">
        <f t="shared" si="119"/>
        <v>169779</v>
      </c>
      <c r="M57" s="1">
        <f t="shared" si="119"/>
        <v>178894</v>
      </c>
      <c r="N57" s="1">
        <f t="shared" si="119"/>
        <v>185727</v>
      </c>
      <c r="O57" s="1">
        <f t="shared" si="119"/>
        <v>184491</v>
      </c>
      <c r="P57" s="1">
        <f t="shared" si="119"/>
        <v>206688</v>
      </c>
      <c r="Q57" s="1">
        <f t="shared" si="119"/>
        <v>216274</v>
      </c>
      <c r="R57" s="1">
        <f t="shared" si="119"/>
        <v>229623</v>
      </c>
      <c r="S57" s="1">
        <f t="shared" si="119"/>
        <v>222844</v>
      </c>
      <c r="T57" s="1">
        <f t="shared" ref="T57" si="120">+T56+T55</f>
        <v>230238</v>
      </c>
      <c r="U57" s="1">
        <f>+U56+U55</f>
        <v>256408</v>
      </c>
      <c r="V57" s="1">
        <f>+V56+V55</f>
        <v>276054</v>
      </c>
      <c r="W57" s="1">
        <f>+W56+W55</f>
        <v>280213</v>
      </c>
      <c r="BF57" s="5"/>
      <c r="BG57" s="5"/>
    </row>
    <row r="59" spans="2:59">
      <c r="B59" s="1" t="s">
        <v>93</v>
      </c>
      <c r="N59" s="1">
        <f t="shared" ref="N59:T59" si="121">+SUM(K26:N26)</f>
        <v>23199</v>
      </c>
      <c r="O59" s="1">
        <f t="shared" si="121"/>
        <v>21443</v>
      </c>
      <c r="P59" s="1">
        <f t="shared" si="121"/>
        <v>22544</v>
      </c>
      <c r="Q59" s="1">
        <f t="shared" si="121"/>
        <v>29732</v>
      </c>
      <c r="R59" s="1">
        <f t="shared" si="121"/>
        <v>39097</v>
      </c>
      <c r="S59" s="1">
        <f t="shared" si="121"/>
        <v>45757</v>
      </c>
      <c r="T59" s="1">
        <f t="shared" si="121"/>
        <v>51434</v>
      </c>
      <c r="U59" s="1">
        <f>+SUM(R26:U26)</f>
        <v>55539</v>
      </c>
      <c r="V59" s="1">
        <f>+SUM(S26:V26)</f>
        <v>60876.4</v>
      </c>
      <c r="W59" s="1">
        <f>+SUM(T26:W26)</f>
        <v>65433</v>
      </c>
      <c r="BF59" s="5"/>
      <c r="BG59" s="5"/>
    </row>
    <row r="60" spans="2:59" s="5" customFormat="1">
      <c r="B60" s="5" t="s">
        <v>144</v>
      </c>
      <c r="N60" s="5">
        <f t="shared" ref="N60:T60" si="122">+N59/(N41+N42+N43+N44+N45+N47)</f>
        <v>0.18741214676942466</v>
      </c>
      <c r="O60" s="5">
        <f t="shared" si="122"/>
        <v>0.17092320691249382</v>
      </c>
      <c r="P60" s="5">
        <f t="shared" si="122"/>
        <v>0.1711418312115208</v>
      </c>
      <c r="Q60" s="5">
        <f t="shared" si="122"/>
        <v>0.2224283683698661</v>
      </c>
      <c r="R60" s="5">
        <f t="shared" si="122"/>
        <v>0.27383070220902378</v>
      </c>
      <c r="S60" s="5">
        <f t="shared" si="122"/>
        <v>0.31760255431387518</v>
      </c>
      <c r="T60" s="5">
        <f t="shared" si="122"/>
        <v>0.33948938641884041</v>
      </c>
      <c r="U60" s="5">
        <f>+U59/(U41+U42+U43+U44+U45+U47)</f>
        <v>0.33689810377667512</v>
      </c>
      <c r="V60" s="5">
        <f>+V59/(V41+V42+V43+V44+V45+V47)</f>
        <v>0.34280147534983246</v>
      </c>
      <c r="W60" s="5">
        <f>+W59/(W41+W42+W43+W44+W45+W47)</f>
        <v>0.34560474095357818</v>
      </c>
      <c r="BF60" s="1"/>
      <c r="BG60" s="1"/>
    </row>
    <row r="61" spans="2:59">
      <c r="B61" s="1" t="s">
        <v>91</v>
      </c>
      <c r="K61" s="1">
        <f t="shared" ref="K61:T61" si="123">+K22*(1-K33)</f>
        <v>7143.2038616973514</v>
      </c>
      <c r="L61" s="1">
        <f t="shared" si="123"/>
        <v>6827.5037869533344</v>
      </c>
      <c r="M61" s="1">
        <f t="shared" si="123"/>
        <v>4464.3615494978476</v>
      </c>
      <c r="N61" s="1">
        <f t="shared" si="123"/>
        <v>4841.1364449503981</v>
      </c>
      <c r="O61" s="1">
        <f t="shared" si="123"/>
        <v>5646.4955522102091</v>
      </c>
      <c r="P61" s="1">
        <f t="shared" si="123"/>
        <v>7870.9669643817924</v>
      </c>
      <c r="Q61" s="1">
        <f t="shared" si="123"/>
        <v>11358.279885877317</v>
      </c>
      <c r="R61" s="1">
        <f t="shared" si="123"/>
        <v>13663.405997144217</v>
      </c>
      <c r="S61" s="1">
        <f t="shared" si="123"/>
        <v>12050.683353310302</v>
      </c>
      <c r="T61" s="1">
        <f t="shared" si="123"/>
        <v>13234.135773864691</v>
      </c>
      <c r="U61" s="1">
        <f>+U22*(1-U33)</f>
        <v>15272.517113679722</v>
      </c>
      <c r="V61" s="1">
        <f>+V22*(1-V33)</f>
        <v>20672.548828125</v>
      </c>
      <c r="W61" s="1">
        <f>+W22*(1-W33)</f>
        <v>15895.192035687083</v>
      </c>
    </row>
    <row r="62" spans="2:59" s="5" customFormat="1">
      <c r="B62" s="5" t="s">
        <v>92</v>
      </c>
      <c r="K62" s="5">
        <f t="shared" ref="K62:T62" si="124">+K61/(K56-K39)</f>
        <v>9.0035088629627058E-2</v>
      </c>
      <c r="L62" s="5">
        <f t="shared" si="124"/>
        <v>8.0061725028182346E-2</v>
      </c>
      <c r="M62" s="5">
        <f t="shared" si="124"/>
        <v>4.8399409686663571E-2</v>
      </c>
      <c r="N62" s="5">
        <f t="shared" si="124"/>
        <v>5.1014104037497079E-2</v>
      </c>
      <c r="O62" s="5">
        <f t="shared" si="124"/>
        <v>5.8043148736240467E-2</v>
      </c>
      <c r="P62" s="5">
        <f t="shared" si="124"/>
        <v>7.9529620026288966E-2</v>
      </c>
      <c r="Q62" s="5">
        <f t="shared" si="124"/>
        <v>0.11343193438603974</v>
      </c>
      <c r="R62" s="5">
        <f t="shared" si="124"/>
        <v>0.12871790859297425</v>
      </c>
      <c r="S62" s="5">
        <f t="shared" si="124"/>
        <v>0.1097552128794337</v>
      </c>
      <c r="T62" s="5">
        <f t="shared" si="124"/>
        <v>0.11304270682882919</v>
      </c>
      <c r="U62" s="5">
        <f>+U61/(U56-U39)</f>
        <v>0.12472247994054586</v>
      </c>
      <c r="V62" s="5">
        <f>+V61/(V56-V39)</f>
        <v>0.154679073597248</v>
      </c>
      <c r="W62" s="5">
        <f>+W61/(W56-W39)</f>
        <v>0.11066917339019608</v>
      </c>
      <c r="BF62" s="1"/>
      <c r="BG62" s="1"/>
    </row>
    <row r="64" spans="2:59">
      <c r="B64" s="1" t="s">
        <v>53</v>
      </c>
      <c r="K64" s="1">
        <f t="shared" ref="K64:R64" si="125">+K26</f>
        <v>7465</v>
      </c>
      <c r="L64" s="1">
        <f t="shared" si="125"/>
        <v>6687</v>
      </c>
      <c r="M64" s="1">
        <f t="shared" si="125"/>
        <v>4395</v>
      </c>
      <c r="N64" s="1">
        <f t="shared" si="125"/>
        <v>4652</v>
      </c>
      <c r="O64" s="1">
        <f t="shared" si="125"/>
        <v>5709</v>
      </c>
      <c r="P64" s="1">
        <f t="shared" si="125"/>
        <v>7788</v>
      </c>
      <c r="Q64" s="1">
        <f t="shared" si="125"/>
        <v>11583</v>
      </c>
      <c r="R64" s="1">
        <f t="shared" si="125"/>
        <v>14017</v>
      </c>
      <c r="S64" s="1">
        <f>+S26</f>
        <v>12369</v>
      </c>
      <c r="T64" s="1">
        <f>+T26</f>
        <v>13465</v>
      </c>
      <c r="U64" s="1">
        <f>+U26</f>
        <v>15688</v>
      </c>
      <c r="V64" s="1">
        <f>+V26</f>
        <v>19354.400000000001</v>
      </c>
      <c r="W64" s="1">
        <f>+W26</f>
        <v>16925.600000000002</v>
      </c>
    </row>
    <row r="65" spans="2:59">
      <c r="B65" s="1" t="s">
        <v>54</v>
      </c>
      <c r="K65" s="1">
        <v>7465</v>
      </c>
      <c r="L65" s="1">
        <v>6687</v>
      </c>
      <c r="M65" s="1">
        <v>4395</v>
      </c>
      <c r="N65" s="1">
        <v>4652</v>
      </c>
      <c r="O65" s="1">
        <v>5709</v>
      </c>
      <c r="P65" s="1">
        <f>13498-O65</f>
        <v>7789</v>
      </c>
      <c r="Q65" s="1">
        <v>11583</v>
      </c>
      <c r="R65" s="1">
        <v>14017</v>
      </c>
      <c r="S65" s="1">
        <v>12369</v>
      </c>
      <c r="T65" s="1">
        <v>13465</v>
      </c>
      <c r="U65" s="1">
        <v>15688</v>
      </c>
      <c r="V65" s="1">
        <f>62360-SUM(S65:U65)</f>
        <v>20838</v>
      </c>
      <c r="W65" s="1">
        <v>16644</v>
      </c>
    </row>
    <row r="66" spans="2:59">
      <c r="B66" s="1" t="s">
        <v>68</v>
      </c>
      <c r="K66" s="1">
        <v>2156</v>
      </c>
      <c r="L66" s="1">
        <v>1979</v>
      </c>
      <c r="M66" s="1">
        <v>2175</v>
      </c>
      <c r="N66" s="1">
        <v>2376</v>
      </c>
      <c r="O66" s="1">
        <v>2524</v>
      </c>
      <c r="P66" s="1">
        <v>2623</v>
      </c>
      <c r="Q66" s="1">
        <v>2858</v>
      </c>
      <c r="R66" s="1">
        <v>3172</v>
      </c>
      <c r="S66" s="1">
        <v>3374</v>
      </c>
      <c r="T66" s="1">
        <v>3637</v>
      </c>
      <c r="U66" s="1">
        <v>4027</v>
      </c>
      <c r="V66" s="1">
        <f>15498-SUM(S66:U66)</f>
        <v>4460</v>
      </c>
      <c r="W66" s="1">
        <v>3900</v>
      </c>
    </row>
    <row r="67" spans="2:59">
      <c r="B67" s="1" t="s">
        <v>69</v>
      </c>
      <c r="K67" s="1">
        <v>2498</v>
      </c>
      <c r="L67" s="1">
        <v>3351</v>
      </c>
      <c r="M67" s="1">
        <v>3134</v>
      </c>
      <c r="N67" s="1">
        <v>3008</v>
      </c>
      <c r="O67" s="1">
        <v>3051</v>
      </c>
      <c r="P67" s="1">
        <v>4060</v>
      </c>
      <c r="Q67" s="1">
        <v>3492</v>
      </c>
      <c r="R67" s="1">
        <v>3424</v>
      </c>
      <c r="S67" s="1">
        <v>3562</v>
      </c>
      <c r="T67" s="1">
        <v>4616</v>
      </c>
      <c r="U67" s="1">
        <v>4250</v>
      </c>
      <c r="V67" s="1">
        <f>16690-SUM(S67:U67)</f>
        <v>4262</v>
      </c>
      <c r="W67" s="1">
        <v>4147</v>
      </c>
    </row>
    <row r="68" spans="2:59">
      <c r="B68" s="1" t="s">
        <v>70</v>
      </c>
      <c r="K68" s="1">
        <v>-563</v>
      </c>
      <c r="L68" s="1">
        <v>-453</v>
      </c>
      <c r="M68" s="1">
        <v>-1097</v>
      </c>
      <c r="N68" s="1">
        <v>-1173</v>
      </c>
      <c r="O68" s="1">
        <v>-620</v>
      </c>
      <c r="P68" s="1">
        <v>-1137</v>
      </c>
      <c r="Q68" s="1">
        <v>3049</v>
      </c>
      <c r="R68" s="1">
        <v>-1161</v>
      </c>
      <c r="S68" s="1">
        <v>-456</v>
      </c>
      <c r="T68" s="1">
        <v>-1643</v>
      </c>
      <c r="U68" s="1">
        <v>-1308</v>
      </c>
      <c r="V68" s="1">
        <f>-4738-SUM(S68:U68)</f>
        <v>-1331</v>
      </c>
      <c r="W68" s="1">
        <v>-993</v>
      </c>
    </row>
    <row r="69" spans="2:59">
      <c r="B69" s="1" t="s">
        <v>71</v>
      </c>
      <c r="K69" s="1">
        <v>0</v>
      </c>
      <c r="L69" s="1">
        <v>0</v>
      </c>
      <c r="M69" s="1">
        <v>413</v>
      </c>
      <c r="N69" s="1">
        <v>1805</v>
      </c>
      <c r="O69" s="1">
        <v>770</v>
      </c>
      <c r="P69" s="1">
        <v>232</v>
      </c>
      <c r="Q69" s="1">
        <v>340</v>
      </c>
      <c r="R69" s="1">
        <v>1091</v>
      </c>
      <c r="S69" s="1">
        <v>240</v>
      </c>
      <c r="T69" s="1">
        <v>41</v>
      </c>
      <c r="U69" s="1">
        <v>8</v>
      </c>
      <c r="V69" s="1">
        <f>383-SUM(S69:U69)</f>
        <v>94</v>
      </c>
      <c r="W69" s="1">
        <v>0</v>
      </c>
    </row>
    <row r="70" spans="2:59">
      <c r="B70" s="1" t="s">
        <v>50</v>
      </c>
      <c r="K70" s="1">
        <v>-221</v>
      </c>
      <c r="L70" s="1">
        <v>189</v>
      </c>
      <c r="M70" s="1">
        <v>104</v>
      </c>
      <c r="N70" s="1">
        <f>1341+572</f>
        <v>1913</v>
      </c>
      <c r="O70" s="1">
        <v>-7</v>
      </c>
      <c r="P70" s="1">
        <v>212</v>
      </c>
      <c r="Q70" s="1">
        <v>75</v>
      </c>
      <c r="R70" s="1">
        <f>7+124</f>
        <v>131</v>
      </c>
      <c r="S70" s="1">
        <v>-66</v>
      </c>
      <c r="T70" s="1">
        <v>-6</v>
      </c>
      <c r="U70" s="1">
        <v>-11</v>
      </c>
      <c r="V70" s="1">
        <f>87-SUM(S70:U70)</f>
        <v>170</v>
      </c>
      <c r="W70" s="1">
        <v>-231</v>
      </c>
    </row>
    <row r="71" spans="2:59">
      <c r="B71" s="1" t="s">
        <v>45</v>
      </c>
      <c r="K71" s="1">
        <v>2557</v>
      </c>
      <c r="L71" s="1">
        <v>-522</v>
      </c>
      <c r="M71" s="1">
        <v>-105</v>
      </c>
      <c r="N71" s="1">
        <v>-1698</v>
      </c>
      <c r="O71" s="1">
        <v>2546</v>
      </c>
      <c r="P71" s="1">
        <v>-1424</v>
      </c>
      <c r="Q71" s="1">
        <v>-678</v>
      </c>
      <c r="R71" s="1">
        <v>-2843</v>
      </c>
      <c r="S71" s="1">
        <v>2520</v>
      </c>
      <c r="T71" s="1">
        <v>-1171</v>
      </c>
      <c r="U71" s="1">
        <v>143</v>
      </c>
      <c r="V71" s="1">
        <f>-1485-SUM(S71:U71)</f>
        <v>-2977</v>
      </c>
      <c r="W71" s="1">
        <v>2804</v>
      </c>
    </row>
    <row r="72" spans="2:59">
      <c r="B72" s="1" t="s">
        <v>46</v>
      </c>
      <c r="K72" s="1">
        <v>573</v>
      </c>
      <c r="L72" s="1">
        <v>-435</v>
      </c>
      <c r="M72" s="1">
        <v>-830</v>
      </c>
      <c r="N72" s="1">
        <v>854</v>
      </c>
      <c r="O72" s="1">
        <v>821</v>
      </c>
      <c r="P72" s="1">
        <v>-54</v>
      </c>
      <c r="Q72" s="1">
        <v>-907</v>
      </c>
      <c r="R72" s="1">
        <v>700</v>
      </c>
      <c r="S72" s="1">
        <v>100</v>
      </c>
      <c r="T72" s="1">
        <v>-84</v>
      </c>
      <c r="U72" s="1">
        <v>-184</v>
      </c>
      <c r="V72" s="1">
        <f>-698-SUM(S72:U72)</f>
        <v>-530</v>
      </c>
      <c r="W72" s="1">
        <v>360</v>
      </c>
    </row>
    <row r="73" spans="2:59">
      <c r="B73" s="1" t="s">
        <v>72</v>
      </c>
      <c r="K73" s="1">
        <v>-108</v>
      </c>
      <c r="L73" s="1">
        <v>-25</v>
      </c>
      <c r="M73" s="1">
        <v>-27</v>
      </c>
      <c r="N73" s="1">
        <v>54</v>
      </c>
      <c r="O73" s="1">
        <v>30</v>
      </c>
      <c r="P73" s="1">
        <v>37</v>
      </c>
      <c r="Q73" s="1">
        <v>-36</v>
      </c>
      <c r="R73" s="1">
        <v>-111</v>
      </c>
      <c r="S73" s="1">
        <v>-94</v>
      </c>
      <c r="T73" s="1">
        <v>54</v>
      </c>
      <c r="U73" s="1">
        <v>-29</v>
      </c>
      <c r="V73" s="1">
        <f>-270-SUM(S73:U73)</f>
        <v>-201</v>
      </c>
      <c r="W73" s="1">
        <v>-52</v>
      </c>
    </row>
    <row r="74" spans="2:59">
      <c r="B74" s="1" t="s">
        <v>44</v>
      </c>
      <c r="K74" s="1">
        <v>-882</v>
      </c>
      <c r="L74" s="1">
        <v>237</v>
      </c>
      <c r="M74" s="1">
        <v>-22</v>
      </c>
      <c r="N74" s="1">
        <v>876</v>
      </c>
      <c r="O74" s="1">
        <v>-1104</v>
      </c>
      <c r="P74" s="1">
        <v>-51</v>
      </c>
      <c r="Q74" s="1">
        <v>611</v>
      </c>
      <c r="R74" s="1">
        <v>595</v>
      </c>
      <c r="S74" s="1">
        <v>-1112</v>
      </c>
      <c r="T74" s="1">
        <v>250</v>
      </c>
      <c r="U74" s="1">
        <v>667</v>
      </c>
      <c r="V74" s="1">
        <f>373-SUM(S74:U74)</f>
        <v>568</v>
      </c>
      <c r="W74" s="1">
        <v>-1034</v>
      </c>
    </row>
    <row r="75" spans="2:59">
      <c r="B75" s="1" t="s">
        <v>51</v>
      </c>
      <c r="K75" s="1">
        <v>-105</v>
      </c>
      <c r="L75" s="1">
        <v>73</v>
      </c>
      <c r="M75" s="1">
        <v>20</v>
      </c>
      <c r="N75" s="1">
        <v>102</v>
      </c>
      <c r="O75" s="1">
        <v>-240</v>
      </c>
      <c r="P75" s="1">
        <v>-116</v>
      </c>
      <c r="Q75" s="1">
        <v>9</v>
      </c>
      <c r="R75" s="1">
        <v>76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2:59">
      <c r="B76" s="1" t="s">
        <v>52</v>
      </c>
      <c r="K76" s="1">
        <v>763</v>
      </c>
      <c r="L76" s="1">
        <v>1180</v>
      </c>
      <c r="M76" s="1">
        <v>998</v>
      </c>
      <c r="N76" s="1">
        <v>1303</v>
      </c>
      <c r="O76" s="1">
        <v>334</v>
      </c>
      <c r="P76" s="1">
        <v>5290</v>
      </c>
      <c r="Q76" s="1">
        <v>78</v>
      </c>
      <c r="R76" s="1">
        <v>-350</v>
      </c>
      <c r="S76" s="1">
        <v>-1274</v>
      </c>
      <c r="T76" s="1">
        <v>-497</v>
      </c>
      <c r="U76" s="1">
        <v>572</v>
      </c>
      <c r="V76" s="1">
        <f>323-SUM(S76:U76)</f>
        <v>1522</v>
      </c>
      <c r="W76" s="1">
        <v>-2231</v>
      </c>
      <c r="BF76" s="8"/>
      <c r="BG76" s="8"/>
    </row>
    <row r="77" spans="2:59">
      <c r="B77" s="1" t="s">
        <v>50</v>
      </c>
      <c r="K77" s="1">
        <v>-57</v>
      </c>
      <c r="L77" s="1">
        <v>-64</v>
      </c>
      <c r="M77" s="1">
        <v>533</v>
      </c>
      <c r="N77" s="1">
        <v>439</v>
      </c>
      <c r="O77" s="1">
        <v>184</v>
      </c>
      <c r="P77" s="1">
        <v>-151</v>
      </c>
      <c r="Q77" s="1">
        <v>-72</v>
      </c>
      <c r="R77" s="1">
        <v>663</v>
      </c>
      <c r="S77" s="1">
        <v>83</v>
      </c>
      <c r="T77" s="1">
        <v>708</v>
      </c>
      <c r="U77" s="1">
        <v>901</v>
      </c>
      <c r="V77" s="1">
        <f>2805-SUM(S77:U77)</f>
        <v>1113</v>
      </c>
      <c r="W77" s="1">
        <v>712</v>
      </c>
    </row>
    <row r="78" spans="2:59">
      <c r="B78" s="1" t="s">
        <v>67</v>
      </c>
      <c r="K78" s="1">
        <f t="shared" ref="K78:S78" si="126">+SUM(K71:K77)</f>
        <v>2741</v>
      </c>
      <c r="L78" s="1">
        <f t="shared" si="126"/>
        <v>444</v>
      </c>
      <c r="M78" s="1">
        <f t="shared" si="126"/>
        <v>567</v>
      </c>
      <c r="N78" s="1">
        <f t="shared" si="126"/>
        <v>1930</v>
      </c>
      <c r="O78" s="1">
        <f t="shared" si="126"/>
        <v>2571</v>
      </c>
      <c r="P78" s="1">
        <f t="shared" si="126"/>
        <v>3531</v>
      </c>
      <c r="Q78" s="1">
        <f t="shared" si="126"/>
        <v>-995</v>
      </c>
      <c r="R78" s="1">
        <f t="shared" si="126"/>
        <v>-1270</v>
      </c>
      <c r="S78" s="1">
        <f t="shared" si="126"/>
        <v>223</v>
      </c>
      <c r="T78" s="1">
        <f>+SUM(T71:T77)</f>
        <v>-740</v>
      </c>
      <c r="U78" s="1">
        <f>+SUM(U71:U77)</f>
        <v>2070</v>
      </c>
      <c r="V78" s="1">
        <f>+SUM(V71:V77)</f>
        <v>-505</v>
      </c>
      <c r="W78" s="1">
        <f>+SUM(W71:W77)</f>
        <v>559</v>
      </c>
      <c r="BF78" s="8"/>
      <c r="BG78" s="8"/>
    </row>
    <row r="79" spans="2:59" s="8" customFormat="1">
      <c r="B79" s="8" t="s">
        <v>59</v>
      </c>
      <c r="K79" s="8">
        <f t="shared" ref="K79:S79" si="127">+SUM(K65:K70)+K78</f>
        <v>14076</v>
      </c>
      <c r="L79" s="8">
        <f t="shared" si="127"/>
        <v>12197</v>
      </c>
      <c r="M79" s="8">
        <f t="shared" si="127"/>
        <v>9691</v>
      </c>
      <c r="N79" s="8">
        <f t="shared" si="127"/>
        <v>14511</v>
      </c>
      <c r="O79" s="8">
        <f t="shared" si="127"/>
        <v>13998</v>
      </c>
      <c r="P79" s="8">
        <f t="shared" si="127"/>
        <v>17310</v>
      </c>
      <c r="Q79" s="8">
        <f t="shared" si="127"/>
        <v>20402</v>
      </c>
      <c r="R79" s="8">
        <f t="shared" si="127"/>
        <v>19404</v>
      </c>
      <c r="S79" s="8">
        <f t="shared" si="127"/>
        <v>19246</v>
      </c>
      <c r="T79" s="8">
        <f t="shared" ref="T79:U79" si="128">+SUM(T65:T70)+T78</f>
        <v>19370</v>
      </c>
      <c r="U79" s="8">
        <f t="shared" si="128"/>
        <v>24724</v>
      </c>
      <c r="V79" s="8">
        <f t="shared" ref="V79:W79" si="129">+SUM(V65:V70)+V78</f>
        <v>27988</v>
      </c>
      <c r="W79" s="8">
        <f>+SUM(W65:W70)+W78</f>
        <v>24026</v>
      </c>
      <c r="AN79" s="8">
        <f>+SUM(S79:V79)</f>
        <v>91328</v>
      </c>
      <c r="BF79" s="1"/>
      <c r="BG79" s="1"/>
    </row>
    <row r="81" spans="2:59" s="8" customFormat="1">
      <c r="B81" s="8" t="s">
        <v>55</v>
      </c>
      <c r="K81" s="8">
        <f>-5441+126</f>
        <v>-5315</v>
      </c>
      <c r="L81" s="8">
        <f>-7572+44</f>
        <v>-7528</v>
      </c>
      <c r="M81" s="8">
        <f>-9375+20</f>
        <v>-9355</v>
      </c>
      <c r="N81" s="8">
        <f>-9043+55</f>
        <v>-8988</v>
      </c>
      <c r="O81" s="8">
        <f>-6842+19</f>
        <v>-6823</v>
      </c>
      <c r="P81" s="8">
        <f>-6216+82</f>
        <v>-6134</v>
      </c>
      <c r="Q81" s="8">
        <f>-6543+47</f>
        <v>-6496</v>
      </c>
      <c r="R81" s="8">
        <f>-7665+73</f>
        <v>-7592</v>
      </c>
      <c r="S81" s="8">
        <v>-6400</v>
      </c>
      <c r="T81" s="8">
        <f>-14573-S81</f>
        <v>-8173</v>
      </c>
      <c r="U81" s="8">
        <f>-22831-SUM(S81:T81)</f>
        <v>-8258</v>
      </c>
      <c r="V81" s="8">
        <f>-37256-SUM(S81:U81)</f>
        <v>-14425</v>
      </c>
      <c r="W81" s="8">
        <v>-12941</v>
      </c>
      <c r="AN81" s="8">
        <v>-37256</v>
      </c>
      <c r="AO81" s="8">
        <v>-72000</v>
      </c>
      <c r="BF81" s="1"/>
      <c r="BG81" s="1"/>
    </row>
    <row r="82" spans="2:59">
      <c r="B82" s="1" t="s">
        <v>56</v>
      </c>
      <c r="K82" s="1">
        <f>+-4068+5467</f>
        <v>1399</v>
      </c>
      <c r="L82" s="1">
        <f>-2220+3159</f>
        <v>939</v>
      </c>
      <c r="M82" s="1">
        <f>-2597+2269</f>
        <v>-328</v>
      </c>
      <c r="N82" s="1">
        <f>-741+2263</f>
        <v>1522</v>
      </c>
      <c r="O82" s="1">
        <f>-85+534</f>
        <v>449</v>
      </c>
      <c r="P82" s="1">
        <f>-717+1816</f>
        <v>1099</v>
      </c>
      <c r="Q82" s="1">
        <f>-1008+1475</f>
        <v>467</v>
      </c>
      <c r="R82" s="1">
        <f>+-1171+2359</f>
        <v>1188</v>
      </c>
      <c r="S82" s="1">
        <f>-6887+4625</f>
        <v>-2262</v>
      </c>
      <c r="T82" s="1">
        <f>-10176+7858-S82</f>
        <v>-56</v>
      </c>
      <c r="U82" s="1">
        <f>-14644+11972-SUM(S82:T82)</f>
        <v>-354</v>
      </c>
      <c r="V82" s="1">
        <f>-25542+15789-SUM(S82:U82)</f>
        <v>-7081</v>
      </c>
      <c r="W82" s="1">
        <f>-11763+4784</f>
        <v>-6979</v>
      </c>
    </row>
    <row r="83" spans="2:59">
      <c r="B83" s="1" t="s">
        <v>57</v>
      </c>
      <c r="K83" s="1">
        <v>-853</v>
      </c>
      <c r="L83" s="1">
        <v>-363</v>
      </c>
      <c r="M83" s="1">
        <v>-34</v>
      </c>
      <c r="N83" s="1">
        <v>-62</v>
      </c>
      <c r="O83" s="1">
        <v>-444</v>
      </c>
      <c r="P83" s="1">
        <v>-83</v>
      </c>
      <c r="Q83" s="1">
        <v>-38</v>
      </c>
      <c r="R83" s="1">
        <v>-64</v>
      </c>
      <c r="S83" s="1">
        <v>-72</v>
      </c>
      <c r="T83" s="1">
        <f>-129-S83</f>
        <v>-57</v>
      </c>
      <c r="U83" s="1">
        <f>-261-SUM(S83:T83)</f>
        <v>-132</v>
      </c>
      <c r="V83" s="1">
        <f>-270-SUM(S83:U83)</f>
        <v>-9</v>
      </c>
      <c r="W83" s="1">
        <v>0</v>
      </c>
    </row>
    <row r="84" spans="2:59">
      <c r="B84" s="1" t="s">
        <v>50</v>
      </c>
      <c r="S84" s="1">
        <v>0</v>
      </c>
      <c r="T84" s="1">
        <f>-12-S84</f>
        <v>-12</v>
      </c>
      <c r="U84" s="1">
        <f>112-SUM(S84:T84)</f>
        <v>124</v>
      </c>
      <c r="V84" s="1">
        <f>129-SUM(S84:U84)</f>
        <v>17</v>
      </c>
      <c r="W84" s="1">
        <v>-90</v>
      </c>
    </row>
    <row r="85" spans="2:59">
      <c r="B85" s="1" t="s">
        <v>58</v>
      </c>
      <c r="K85" s="1">
        <f t="shared" ref="K85:R85" si="130">SUM(K81:K83)</f>
        <v>-4769</v>
      </c>
      <c r="L85" s="1">
        <f t="shared" si="130"/>
        <v>-6952</v>
      </c>
      <c r="M85" s="1">
        <f t="shared" si="130"/>
        <v>-9717</v>
      </c>
      <c r="N85" s="1">
        <f t="shared" si="130"/>
        <v>-7528</v>
      </c>
      <c r="O85" s="1">
        <f t="shared" si="130"/>
        <v>-6818</v>
      </c>
      <c r="P85" s="1">
        <f t="shared" si="130"/>
        <v>-5118</v>
      </c>
      <c r="Q85" s="1">
        <f t="shared" si="130"/>
        <v>-6067</v>
      </c>
      <c r="R85" s="1">
        <f t="shared" si="130"/>
        <v>-6468</v>
      </c>
      <c r="S85" s="1">
        <f>SUM(S81:S84)</f>
        <v>-8734</v>
      </c>
      <c r="T85" s="1">
        <f>SUM(T81:T84)</f>
        <v>-8298</v>
      </c>
      <c r="U85" s="1">
        <f>SUM(U81:U84)</f>
        <v>-8620</v>
      </c>
      <c r="V85" s="1">
        <f>SUM(V81:V84)</f>
        <v>-21498</v>
      </c>
      <c r="W85" s="1">
        <f>SUM(W81:W84)</f>
        <v>-20010</v>
      </c>
      <c r="BF85" s="8"/>
      <c r="BG85" s="8"/>
    </row>
    <row r="87" spans="2:59">
      <c r="B87" s="1" t="s">
        <v>60</v>
      </c>
      <c r="K87" s="1">
        <v>-925</v>
      </c>
      <c r="L87" s="1">
        <v>-1002</v>
      </c>
      <c r="M87" s="1">
        <v>-1011</v>
      </c>
      <c r="N87" s="1">
        <v>-656</v>
      </c>
      <c r="O87" s="1">
        <v>-1009</v>
      </c>
      <c r="P87" s="1">
        <v>-1692</v>
      </c>
      <c r="Q87" s="1">
        <v>-2087</v>
      </c>
      <c r="R87" s="1">
        <v>-2223</v>
      </c>
      <c r="S87" s="1">
        <v>-3162</v>
      </c>
      <c r="T87" s="1">
        <v>-3208</v>
      </c>
      <c r="U87" s="1">
        <v>-3544</v>
      </c>
      <c r="V87" s="1">
        <f>-13770-SUM(S87:U87)</f>
        <v>-3856</v>
      </c>
      <c r="W87" s="1">
        <v>-4883</v>
      </c>
    </row>
    <row r="88" spans="2:59">
      <c r="B88" s="1" t="s">
        <v>61</v>
      </c>
      <c r="K88" s="1">
        <v>-9506</v>
      </c>
      <c r="L88" s="1">
        <v>-5233</v>
      </c>
      <c r="M88" s="1">
        <v>-6354</v>
      </c>
      <c r="N88" s="1">
        <v>-6863</v>
      </c>
      <c r="O88" s="1">
        <v>-9365</v>
      </c>
      <c r="P88" s="1">
        <v>-898</v>
      </c>
      <c r="Q88" s="1">
        <v>-3570</v>
      </c>
      <c r="R88" s="1">
        <v>-5942</v>
      </c>
      <c r="S88" s="1">
        <v>-15008</v>
      </c>
      <c r="T88" s="1">
        <v>-6299</v>
      </c>
      <c r="U88" s="1">
        <v>-8818</v>
      </c>
      <c r="V88" s="1">
        <f>-30125-SUM(S88:U88)</f>
        <v>0</v>
      </c>
      <c r="W88" s="1">
        <v>-12754</v>
      </c>
    </row>
    <row r="89" spans="2:59">
      <c r="B89" s="1" t="s">
        <v>81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-1273</v>
      </c>
      <c r="T89" s="1">
        <v>-1266</v>
      </c>
      <c r="U89" s="1">
        <v>-1263</v>
      </c>
      <c r="V89" s="1">
        <f>-5072-SUM(S89:U89)</f>
        <v>-1270</v>
      </c>
      <c r="W89" s="1">
        <v>-1329</v>
      </c>
    </row>
    <row r="90" spans="2:59">
      <c r="B90" s="1" t="s">
        <v>73</v>
      </c>
      <c r="M90" s="1">
        <v>9921</v>
      </c>
      <c r="N90" s="1">
        <v>0</v>
      </c>
      <c r="P90" s="1">
        <v>8455</v>
      </c>
      <c r="Q90" s="1">
        <v>0</v>
      </c>
      <c r="R90" s="1">
        <v>0</v>
      </c>
      <c r="S90" s="1">
        <v>0</v>
      </c>
      <c r="T90" s="1">
        <v>0</v>
      </c>
      <c r="U90" s="1">
        <v>10432</v>
      </c>
      <c r="V90" s="1">
        <f>10432-SUM(S90:U90)</f>
        <v>0</v>
      </c>
      <c r="W90" s="1">
        <f>10432-SUM(T90:V90)</f>
        <v>0</v>
      </c>
    </row>
    <row r="91" spans="2:59">
      <c r="B91" s="1" t="s">
        <v>82</v>
      </c>
      <c r="K91" s="1">
        <v>-233</v>
      </c>
      <c r="L91" s="1">
        <v>-219</v>
      </c>
      <c r="M91" s="1">
        <v>-163</v>
      </c>
      <c r="N91" s="1">
        <v>-235</v>
      </c>
      <c r="O91" s="1">
        <v>-264</v>
      </c>
      <c r="P91" s="1">
        <v>-220</v>
      </c>
      <c r="Q91" s="1">
        <v>-267</v>
      </c>
      <c r="R91" s="1">
        <v>-307</v>
      </c>
      <c r="S91" s="1">
        <v>-315</v>
      </c>
      <c r="T91" s="1">
        <v>-299</v>
      </c>
      <c r="U91" s="1">
        <v>-944</v>
      </c>
      <c r="V91" s="1">
        <f>-1969-SUM(S91:U91)</f>
        <v>-411</v>
      </c>
      <c r="W91" s="1">
        <v>-751</v>
      </c>
    </row>
    <row r="92" spans="2:59">
      <c r="B92" s="1" t="s">
        <v>50</v>
      </c>
      <c r="K92" s="1">
        <v>4</v>
      </c>
      <c r="L92" s="1">
        <v>-109</v>
      </c>
      <c r="M92" s="1">
        <v>-246</v>
      </c>
      <c r="N92" s="1">
        <v>695</v>
      </c>
      <c r="O92" s="1">
        <v>122</v>
      </c>
      <c r="P92" s="1">
        <v>-353</v>
      </c>
      <c r="Q92" s="1">
        <v>49</v>
      </c>
      <c r="R92" s="1">
        <v>71</v>
      </c>
      <c r="S92" s="1">
        <v>-9</v>
      </c>
      <c r="T92" s="1">
        <v>-106</v>
      </c>
      <c r="U92" s="1">
        <v>-234</v>
      </c>
      <c r="V92" s="1">
        <f>-277-SUM(S92:U92)</f>
        <v>72</v>
      </c>
      <c r="W92" s="1">
        <v>222</v>
      </c>
    </row>
    <row r="93" spans="2:59">
      <c r="B93" s="1" t="s">
        <v>62</v>
      </c>
      <c r="K93" s="1">
        <f t="shared" ref="K93:R93" si="131">SUM(K87:K92)</f>
        <v>-10660</v>
      </c>
      <c r="L93" s="1">
        <f t="shared" si="131"/>
        <v>-6563</v>
      </c>
      <c r="M93" s="1">
        <f t="shared" si="131"/>
        <v>2147</v>
      </c>
      <c r="N93" s="1">
        <f t="shared" si="131"/>
        <v>-7059</v>
      </c>
      <c r="O93" s="1">
        <f t="shared" si="131"/>
        <v>-10516</v>
      </c>
      <c r="P93" s="1">
        <f t="shared" si="131"/>
        <v>5292</v>
      </c>
      <c r="Q93" s="1">
        <f t="shared" si="131"/>
        <v>-5875</v>
      </c>
      <c r="R93" s="1">
        <f t="shared" si="131"/>
        <v>-8401</v>
      </c>
      <c r="S93" s="1">
        <f>SUM(S87:S92)</f>
        <v>-19767</v>
      </c>
      <c r="T93" s="1">
        <f>SUM(T87:T92)</f>
        <v>-11178</v>
      </c>
      <c r="U93" s="1">
        <f>SUM(U87:U92)</f>
        <v>-4371</v>
      </c>
      <c r="V93" s="1">
        <f>SUM(V87:V92)</f>
        <v>-5465</v>
      </c>
      <c r="W93" s="1">
        <f>SUM(W87:W92)</f>
        <v>-19495</v>
      </c>
    </row>
    <row r="95" spans="2:59">
      <c r="B95" s="1" t="s">
        <v>63</v>
      </c>
      <c r="K95" s="1">
        <v>-149</v>
      </c>
      <c r="L95" s="1">
        <v>-14</v>
      </c>
      <c r="M95" s="1">
        <v>-354</v>
      </c>
      <c r="N95" s="1">
        <v>396</v>
      </c>
      <c r="O95" s="1">
        <v>85</v>
      </c>
      <c r="P95" s="1">
        <v>-14</v>
      </c>
      <c r="Q95" s="1">
        <v>-354</v>
      </c>
      <c r="R95" s="1">
        <v>396</v>
      </c>
      <c r="S95" s="1">
        <v>-288</v>
      </c>
      <c r="T95" s="1">
        <v>-152</v>
      </c>
      <c r="U95" s="1">
        <v>368</v>
      </c>
      <c r="V95" s="1">
        <f>-786-SUM(S95:U95)</f>
        <v>-714</v>
      </c>
      <c r="W95" s="1">
        <v>112</v>
      </c>
    </row>
    <row r="96" spans="2:59">
      <c r="B96" s="1" t="s">
        <v>64</v>
      </c>
      <c r="K96" s="1">
        <f t="shared" ref="K96:V96" si="132">+K79+K85+K93+K95</f>
        <v>-1502</v>
      </c>
      <c r="L96" s="1">
        <f t="shared" si="132"/>
        <v>-1332</v>
      </c>
      <c r="M96" s="1">
        <f t="shared" si="132"/>
        <v>1767</v>
      </c>
      <c r="N96" s="1">
        <f t="shared" si="132"/>
        <v>320</v>
      </c>
      <c r="O96" s="1">
        <f t="shared" si="132"/>
        <v>-3251</v>
      </c>
      <c r="P96" s="1">
        <f t="shared" si="132"/>
        <v>17470</v>
      </c>
      <c r="Q96" s="1">
        <f t="shared" si="132"/>
        <v>8106</v>
      </c>
      <c r="R96" s="1">
        <f t="shared" si="132"/>
        <v>4931</v>
      </c>
      <c r="S96" s="1">
        <f t="shared" si="132"/>
        <v>-9543</v>
      </c>
      <c r="T96" s="1">
        <f t="shared" si="132"/>
        <v>-258</v>
      </c>
      <c r="U96" s="1">
        <f t="shared" si="132"/>
        <v>12101</v>
      </c>
      <c r="V96" s="1">
        <f t="shared" si="132"/>
        <v>311</v>
      </c>
      <c r="W96" s="1">
        <f t="shared" ref="W96" si="133">+W79+W85+W93+W95</f>
        <v>-15367</v>
      </c>
    </row>
    <row r="98" spans="2:59" s="8" customFormat="1">
      <c r="B98" s="8" t="s">
        <v>65</v>
      </c>
      <c r="K98" s="8">
        <f t="shared" ref="K98:R98" si="134">+K79+K81</f>
        <v>8761</v>
      </c>
      <c r="L98" s="8">
        <f t="shared" si="134"/>
        <v>4669</v>
      </c>
      <c r="M98" s="8">
        <f t="shared" si="134"/>
        <v>336</v>
      </c>
      <c r="N98" s="8">
        <f t="shared" si="134"/>
        <v>5523</v>
      </c>
      <c r="O98" s="8">
        <f t="shared" si="134"/>
        <v>7175</v>
      </c>
      <c r="P98" s="8">
        <f t="shared" si="134"/>
        <v>11176</v>
      </c>
      <c r="Q98" s="8">
        <f t="shared" si="134"/>
        <v>13906</v>
      </c>
      <c r="R98" s="8">
        <f t="shared" si="134"/>
        <v>11812</v>
      </c>
      <c r="S98" s="8">
        <f>+S79+S81</f>
        <v>12846</v>
      </c>
      <c r="T98" s="8">
        <f>+T79+T81</f>
        <v>11197</v>
      </c>
      <c r="U98" s="8">
        <f>+U79+U81</f>
        <v>16466</v>
      </c>
      <c r="V98" s="8">
        <f>+V79+V81</f>
        <v>13563</v>
      </c>
      <c r="W98" s="8">
        <f>+W79+W81</f>
        <v>11085</v>
      </c>
      <c r="AN98" s="8">
        <f>+AN79+AN81</f>
        <v>54072</v>
      </c>
    </row>
    <row r="99" spans="2:59">
      <c r="B99" s="1" t="s">
        <v>66</v>
      </c>
      <c r="K99" s="1">
        <f>+SUM(H98:K98)</f>
        <v>8761</v>
      </c>
      <c r="L99" s="1">
        <f t="shared" ref="L99:P99" si="135">+SUM(I98:L98)</f>
        <v>13430</v>
      </c>
      <c r="M99" s="1">
        <f t="shared" si="135"/>
        <v>13766</v>
      </c>
      <c r="N99" s="1">
        <f t="shared" si="135"/>
        <v>19289</v>
      </c>
      <c r="O99" s="1">
        <f t="shared" si="135"/>
        <v>17703</v>
      </c>
      <c r="P99" s="1">
        <f t="shared" si="135"/>
        <v>24210</v>
      </c>
      <c r="Q99" s="1">
        <f t="shared" ref="Q99:W99" si="136">+SUM(N98:Q98)</f>
        <v>37780</v>
      </c>
      <c r="R99" s="1">
        <f t="shared" si="136"/>
        <v>44069</v>
      </c>
      <c r="S99" s="1">
        <f t="shared" si="136"/>
        <v>49740</v>
      </c>
      <c r="T99" s="1">
        <f t="shared" si="136"/>
        <v>49761</v>
      </c>
      <c r="U99" s="1">
        <f t="shared" si="136"/>
        <v>52321</v>
      </c>
      <c r="V99" s="1">
        <f t="shared" si="136"/>
        <v>54072</v>
      </c>
      <c r="W99" s="1">
        <f t="shared" si="136"/>
        <v>52311</v>
      </c>
    </row>
    <row r="100" spans="2:59">
      <c r="B100" s="1" t="s">
        <v>89</v>
      </c>
      <c r="K100" s="1">
        <f t="shared" ref="K100:T100" si="137">+K98-K67</f>
        <v>6263</v>
      </c>
      <c r="L100" s="1">
        <f t="shared" si="137"/>
        <v>1318</v>
      </c>
      <c r="M100" s="1">
        <f t="shared" si="137"/>
        <v>-2798</v>
      </c>
      <c r="N100" s="1">
        <f t="shared" si="137"/>
        <v>2515</v>
      </c>
      <c r="O100" s="1">
        <f t="shared" si="137"/>
        <v>4124</v>
      </c>
      <c r="P100" s="1">
        <f t="shared" si="137"/>
        <v>7116</v>
      </c>
      <c r="Q100" s="1">
        <f t="shared" si="137"/>
        <v>10414</v>
      </c>
      <c r="R100" s="1">
        <f t="shared" si="137"/>
        <v>8388</v>
      </c>
      <c r="S100" s="1">
        <f t="shared" si="137"/>
        <v>9284</v>
      </c>
      <c r="T100" s="1">
        <f t="shared" si="137"/>
        <v>6581</v>
      </c>
      <c r="U100" s="1">
        <f>+U98-U67</f>
        <v>12216</v>
      </c>
      <c r="V100" s="1">
        <f>+V98-V67</f>
        <v>9301</v>
      </c>
      <c r="W100" s="1">
        <f>+W98-W67</f>
        <v>6938</v>
      </c>
    </row>
    <row r="101" spans="2:59">
      <c r="B101" s="1" t="s">
        <v>90</v>
      </c>
      <c r="N101" s="1">
        <f t="shared" ref="N101:T101" si="138">+SUM(K100:N100)</f>
        <v>7298</v>
      </c>
      <c r="O101" s="1">
        <f t="shared" si="138"/>
        <v>5159</v>
      </c>
      <c r="P101" s="1">
        <f t="shared" si="138"/>
        <v>10957</v>
      </c>
      <c r="Q101" s="1">
        <f t="shared" si="138"/>
        <v>24169</v>
      </c>
      <c r="R101" s="1">
        <f t="shared" si="138"/>
        <v>30042</v>
      </c>
      <c r="S101" s="1">
        <f t="shared" si="138"/>
        <v>35202</v>
      </c>
      <c r="T101" s="1">
        <f t="shared" si="138"/>
        <v>34667</v>
      </c>
      <c r="U101" s="1">
        <f>+SUM(R100:U100)</f>
        <v>36469</v>
      </c>
      <c r="V101" s="1">
        <f>+SUM(S100:V100)</f>
        <v>37382</v>
      </c>
      <c r="W101" s="1">
        <f>+SUM(T100:W100)</f>
        <v>35036</v>
      </c>
      <c r="BF101" s="5"/>
      <c r="BG101" s="5"/>
    </row>
    <row r="103" spans="2:59" s="11" customFormat="1">
      <c r="B103" s="11" t="s">
        <v>141</v>
      </c>
      <c r="AN103" s="11">
        <f>+Main!M8/Model!AN98</f>
        <v>27.095324752182275</v>
      </c>
    </row>
    <row r="105" spans="2:59">
      <c r="B105" s="1" t="s">
        <v>123</v>
      </c>
      <c r="U105" s="1">
        <v>72404</v>
      </c>
      <c r="V105" s="1">
        <v>74067</v>
      </c>
      <c r="W105" s="1">
        <v>76834</v>
      </c>
    </row>
    <row r="106" spans="2:59" s="5" customFormat="1">
      <c r="B106" s="5" t="s">
        <v>143</v>
      </c>
      <c r="U106" s="5">
        <v>0.09</v>
      </c>
      <c r="V106" s="5">
        <f>+V105/U105-1</f>
        <v>2.2968344290370757E-2</v>
      </c>
      <c r="W106" s="5">
        <f>+W105/V105-1</f>
        <v>3.7358067695465014E-2</v>
      </c>
      <c r="BF106" s="1"/>
      <c r="BG106" s="1"/>
    </row>
  </sheetData>
  <hyperlinks>
    <hyperlink ref="A1" location="Main!A1" display="Main" xr:uid="{3423A60A-CC40-4503-BEB7-6897047913B7}"/>
  </hyperlinks>
  <pageMargins left="0.7" right="0.7" top="0.75" bottom="0.75" header="0.3" footer="0.3"/>
  <ignoredErrors>
    <ignoredError sqref="K78:K79 O78:O79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2024-04-23T05:35:21Z</dcterms:created>
  <dcterms:modified xsi:type="dcterms:W3CDTF">2025-05-01T11:10:29Z</dcterms:modified>
</cp:coreProperties>
</file>