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35A7E754-B311-4D5C-BA67-7BE3B4B031B0}" xr6:coauthVersionLast="47" xr6:coauthVersionMax="47" xr10:uidLastSave="{00000000-0000-0000-0000-000000000000}"/>
  <bookViews>
    <workbookView xWindow="60" yWindow="90" windowWidth="14235" windowHeight="15495" xr2:uid="{6CA92B67-FBE4-4980-BCFA-1F1E3970FB7A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2" l="1"/>
  <c r="Q37" i="2"/>
  <c r="E3" i="1"/>
  <c r="K6" i="1"/>
  <c r="K5" i="1"/>
  <c r="K3" i="1"/>
  <c r="P104" i="2"/>
  <c r="Q104" i="2"/>
  <c r="Q103" i="2"/>
  <c r="Q89" i="2"/>
  <c r="Q91" i="2" s="1"/>
  <c r="Q99" i="2"/>
  <c r="Q84" i="2"/>
  <c r="Q85" i="2" s="1"/>
  <c r="Q69" i="2"/>
  <c r="Q57" i="2"/>
  <c r="Q56" i="2"/>
  <c r="Q54" i="2"/>
  <c r="Q44" i="2"/>
  <c r="Q50" i="2"/>
  <c r="Q66" i="2"/>
  <c r="Q67" i="2" s="1"/>
  <c r="Q62" i="2"/>
  <c r="Q64" i="2" s="1"/>
  <c r="Q52" i="2"/>
  <c r="Q43" i="2"/>
  <c r="P40" i="2"/>
  <c r="O41" i="2"/>
  <c r="N41" i="2"/>
  <c r="P41" i="2"/>
  <c r="Q41" i="2"/>
  <c r="Q40" i="2"/>
  <c r="Q39" i="2"/>
  <c r="Q22" i="2"/>
  <c r="Q16" i="2"/>
  <c r="Q36" i="2" s="1"/>
  <c r="P67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C41" i="2"/>
  <c r="AC40" i="2"/>
  <c r="AC39" i="2"/>
  <c r="AC38" i="2"/>
  <c r="AD41" i="2"/>
  <c r="AD40" i="2"/>
  <c r="AD39" i="2"/>
  <c r="AD38" i="2"/>
  <c r="AC37" i="2"/>
  <c r="AD37" i="2"/>
  <c r="E13" i="1"/>
  <c r="F1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C13" i="1"/>
  <c r="D13" i="1"/>
  <c r="M41" i="2"/>
  <c r="L41" i="2"/>
  <c r="K41" i="2"/>
  <c r="I41" i="2"/>
  <c r="H41" i="2"/>
  <c r="G41" i="2"/>
  <c r="O40" i="2"/>
  <c r="O39" i="2"/>
  <c r="M39" i="2"/>
  <c r="L39" i="2"/>
  <c r="K39" i="2"/>
  <c r="I39" i="2"/>
  <c r="H39" i="2"/>
  <c r="G39" i="2"/>
  <c r="O38" i="2"/>
  <c r="M38" i="2"/>
  <c r="L38" i="2"/>
  <c r="K38" i="2"/>
  <c r="I38" i="2"/>
  <c r="H38" i="2"/>
  <c r="G38" i="2"/>
  <c r="P38" i="2"/>
  <c r="P39" i="2"/>
  <c r="O37" i="2"/>
  <c r="M37" i="2"/>
  <c r="L37" i="2"/>
  <c r="K37" i="2"/>
  <c r="I37" i="2"/>
  <c r="H37" i="2"/>
  <c r="G37" i="2"/>
  <c r="P37" i="2"/>
  <c r="F9" i="2"/>
  <c r="F8" i="2"/>
  <c r="F7" i="2"/>
  <c r="F5" i="2"/>
  <c r="F4" i="2"/>
  <c r="F3" i="2"/>
  <c r="J3" i="2"/>
  <c r="J4" i="2"/>
  <c r="J8" i="2"/>
  <c r="J9" i="2"/>
  <c r="J7" i="2"/>
  <c r="J5" i="2"/>
  <c r="N11" i="2"/>
  <c r="N12" i="2"/>
  <c r="N10" i="2"/>
  <c r="N9" i="2"/>
  <c r="N8" i="2"/>
  <c r="N7" i="2"/>
  <c r="N6" i="2"/>
  <c r="N5" i="2"/>
  <c r="N4" i="2"/>
  <c r="N38" i="2" s="1"/>
  <c r="N3" i="2"/>
  <c r="N37" i="2" s="1"/>
  <c r="K4" i="1"/>
  <c r="P99" i="2"/>
  <c r="P89" i="2"/>
  <c r="P91" i="2" s="1"/>
  <c r="P84" i="2"/>
  <c r="P85" i="2" s="1"/>
  <c r="P103" i="2" s="1"/>
  <c r="P57" i="2"/>
  <c r="P56" i="2"/>
  <c r="P54" i="2"/>
  <c r="P50" i="2"/>
  <c r="P44" i="2"/>
  <c r="O99" i="2"/>
  <c r="O89" i="2"/>
  <c r="O91" i="2" s="1"/>
  <c r="O84" i="2"/>
  <c r="O85" i="2" s="1"/>
  <c r="O103" i="2" s="1"/>
  <c r="O57" i="2"/>
  <c r="O56" i="2"/>
  <c r="O54" i="2"/>
  <c r="O50" i="2"/>
  <c r="O44" i="2"/>
  <c r="N94" i="2"/>
  <c r="N99" i="2" s="1"/>
  <c r="M94" i="2"/>
  <c r="M99" i="2" s="1"/>
  <c r="M89" i="2"/>
  <c r="M91" i="2" s="1"/>
  <c r="N89" i="2"/>
  <c r="N91" i="2" s="1"/>
  <c r="N84" i="2"/>
  <c r="N85" i="2" s="1"/>
  <c r="N103" i="2" s="1"/>
  <c r="N57" i="2"/>
  <c r="N56" i="2"/>
  <c r="N54" i="2"/>
  <c r="N50" i="2"/>
  <c r="N44" i="2"/>
  <c r="P22" i="2"/>
  <c r="P16" i="2"/>
  <c r="N26" i="2"/>
  <c r="N24" i="2"/>
  <c r="N21" i="2"/>
  <c r="N20" i="2"/>
  <c r="N19" i="2"/>
  <c r="N17" i="2"/>
  <c r="N15" i="2"/>
  <c r="N14" i="2"/>
  <c r="AD22" i="2"/>
  <c r="AD16" i="2"/>
  <c r="O22" i="2"/>
  <c r="O16" i="2"/>
  <c r="V22" i="2"/>
  <c r="V16" i="2"/>
  <c r="V36" i="2" s="1"/>
  <c r="W22" i="2"/>
  <c r="W16" i="2"/>
  <c r="W18" i="2" s="1"/>
  <c r="X22" i="2"/>
  <c r="X16" i="2"/>
  <c r="Y22" i="2"/>
  <c r="Y16" i="2"/>
  <c r="Z22" i="2"/>
  <c r="Z16" i="2"/>
  <c r="AA22" i="2"/>
  <c r="AA16" i="2"/>
  <c r="AA18" i="2" s="1"/>
  <c r="AC14" i="2"/>
  <c r="AB26" i="2"/>
  <c r="AB24" i="2"/>
  <c r="AB29" i="2"/>
  <c r="AB21" i="2"/>
  <c r="AB20" i="2"/>
  <c r="AB19" i="2"/>
  <c r="AB17" i="2"/>
  <c r="AB15" i="2"/>
  <c r="AB14" i="2"/>
  <c r="AC26" i="2"/>
  <c r="AC29" i="2"/>
  <c r="AC24" i="2"/>
  <c r="AC21" i="2"/>
  <c r="AC20" i="2"/>
  <c r="AC19" i="2"/>
  <c r="AC17" i="2"/>
  <c r="AC15" i="2"/>
  <c r="M84" i="2"/>
  <c r="M85" i="2" s="1"/>
  <c r="K57" i="2"/>
  <c r="K56" i="2"/>
  <c r="K54" i="2"/>
  <c r="K50" i="2"/>
  <c r="K44" i="2"/>
  <c r="L57" i="2"/>
  <c r="L56" i="2"/>
  <c r="L54" i="2"/>
  <c r="L50" i="2"/>
  <c r="L44" i="2"/>
  <c r="J57" i="2"/>
  <c r="J56" i="2"/>
  <c r="J54" i="2"/>
  <c r="J50" i="2"/>
  <c r="J44" i="2"/>
  <c r="M56" i="2"/>
  <c r="M57" i="2"/>
  <c r="M54" i="2"/>
  <c r="M50" i="2"/>
  <c r="M44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C22" i="2"/>
  <c r="C16" i="2"/>
  <c r="C18" i="2" s="1"/>
  <c r="D22" i="2"/>
  <c r="D16" i="2"/>
  <c r="D18" i="2" s="1"/>
  <c r="E22" i="2"/>
  <c r="E16" i="2"/>
  <c r="F22" i="2"/>
  <c r="F16" i="2"/>
  <c r="J22" i="2"/>
  <c r="J16" i="2"/>
  <c r="J18" i="2" s="1"/>
  <c r="G22" i="2"/>
  <c r="G16" i="2"/>
  <c r="K22" i="2"/>
  <c r="K16" i="2"/>
  <c r="H22" i="2"/>
  <c r="H16" i="2"/>
  <c r="H18" i="2" s="1"/>
  <c r="L22" i="2"/>
  <c r="L16" i="2"/>
  <c r="I22" i="2"/>
  <c r="I16" i="2"/>
  <c r="I18" i="2" s="1"/>
  <c r="M22" i="2"/>
  <c r="M16" i="2"/>
  <c r="M18" i="2" s="1"/>
  <c r="Q101" i="2" l="1"/>
  <c r="Q18" i="2"/>
  <c r="J41" i="2"/>
  <c r="J38" i="2"/>
  <c r="J39" i="2"/>
  <c r="N39" i="2"/>
  <c r="J37" i="2"/>
  <c r="P43" i="2"/>
  <c r="O43" i="2"/>
  <c r="O52" i="2"/>
  <c r="O62" i="2"/>
  <c r="O64" i="2" s="1"/>
  <c r="P62" i="2"/>
  <c r="P64" i="2" s="1"/>
  <c r="O101" i="2"/>
  <c r="P101" i="2"/>
  <c r="K7" i="1"/>
  <c r="K9" i="1" s="1"/>
  <c r="P52" i="2"/>
  <c r="N101" i="2"/>
  <c r="L43" i="2"/>
  <c r="N52" i="2"/>
  <c r="K36" i="2"/>
  <c r="N43" i="2"/>
  <c r="N16" i="2"/>
  <c r="N18" i="2" s="1"/>
  <c r="M43" i="2"/>
  <c r="M103" i="2"/>
  <c r="P36" i="2"/>
  <c r="M52" i="2"/>
  <c r="M101" i="2"/>
  <c r="J43" i="2"/>
  <c r="N22" i="2"/>
  <c r="J52" i="2"/>
  <c r="M62" i="2"/>
  <c r="M64" i="2" s="1"/>
  <c r="O36" i="2"/>
  <c r="N62" i="2"/>
  <c r="N64" i="2" s="1"/>
  <c r="J62" i="2"/>
  <c r="J64" i="2" s="1"/>
  <c r="M23" i="2"/>
  <c r="M25" i="2" s="1"/>
  <c r="M27" i="2" s="1"/>
  <c r="AC16" i="2"/>
  <c r="AD36" i="2" s="1"/>
  <c r="P18" i="2"/>
  <c r="AD18" i="2"/>
  <c r="O18" i="2"/>
  <c r="V18" i="2"/>
  <c r="W36" i="2"/>
  <c r="X36" i="2"/>
  <c r="X18" i="2"/>
  <c r="Y36" i="2"/>
  <c r="Z36" i="2"/>
  <c r="Y18" i="2"/>
  <c r="Z18" i="2"/>
  <c r="AA36" i="2"/>
  <c r="AA23" i="2"/>
  <c r="AA32" i="2" s="1"/>
  <c r="AA31" i="2"/>
  <c r="AB22" i="2"/>
  <c r="AB16" i="2"/>
  <c r="AC22" i="2"/>
  <c r="L62" i="2"/>
  <c r="L64" i="2" s="1"/>
  <c r="K52" i="2"/>
  <c r="L36" i="2"/>
  <c r="G36" i="2"/>
  <c r="J36" i="2"/>
  <c r="K62" i="2"/>
  <c r="K64" i="2" s="1"/>
  <c r="K43" i="2"/>
  <c r="L52" i="2"/>
  <c r="H23" i="2"/>
  <c r="H31" i="2"/>
  <c r="M36" i="2"/>
  <c r="H36" i="2"/>
  <c r="I36" i="2"/>
  <c r="C23" i="2"/>
  <c r="C31" i="2"/>
  <c r="D31" i="2"/>
  <c r="D23" i="2"/>
  <c r="E18" i="2"/>
  <c r="E31" i="2" s="1"/>
  <c r="F18" i="2"/>
  <c r="J23" i="2"/>
  <c r="J31" i="2"/>
  <c r="G18" i="2"/>
  <c r="K18" i="2"/>
  <c r="L18" i="2"/>
  <c r="M31" i="2"/>
  <c r="I31" i="2"/>
  <c r="I23" i="2"/>
  <c r="Q31" i="2" l="1"/>
  <c r="Q23" i="2"/>
  <c r="M28" i="2"/>
  <c r="N36" i="2"/>
  <c r="N31" i="2"/>
  <c r="N23" i="2"/>
  <c r="N32" i="2" s="1"/>
  <c r="M34" i="2"/>
  <c r="M33" i="2"/>
  <c r="M32" i="2"/>
  <c r="M69" i="2"/>
  <c r="AC18" i="2"/>
  <c r="AC31" i="2" s="1"/>
  <c r="AB18" i="2"/>
  <c r="AB31" i="2" s="1"/>
  <c r="AB36" i="2"/>
  <c r="P31" i="2"/>
  <c r="P23" i="2"/>
  <c r="AD23" i="2"/>
  <c r="AD31" i="2"/>
  <c r="O23" i="2"/>
  <c r="O31" i="2"/>
  <c r="V31" i="2"/>
  <c r="V23" i="2"/>
  <c r="W31" i="2"/>
  <c r="W23" i="2"/>
  <c r="X23" i="2"/>
  <c r="X31" i="2"/>
  <c r="Y31" i="2"/>
  <c r="Y23" i="2"/>
  <c r="Z31" i="2"/>
  <c r="Z23" i="2"/>
  <c r="AA25" i="2"/>
  <c r="AA27" i="2" s="1"/>
  <c r="AA28" i="2" s="1"/>
  <c r="AC36" i="2"/>
  <c r="H32" i="2"/>
  <c r="H25" i="2"/>
  <c r="C25" i="2"/>
  <c r="C32" i="2"/>
  <c r="D32" i="2"/>
  <c r="D25" i="2"/>
  <c r="E23" i="2"/>
  <c r="E32" i="2" s="1"/>
  <c r="F23" i="2"/>
  <c r="F31" i="2"/>
  <c r="J32" i="2"/>
  <c r="J25" i="2"/>
  <c r="G23" i="2"/>
  <c r="G31" i="2"/>
  <c r="K31" i="2"/>
  <c r="K23" i="2"/>
  <c r="L31" i="2"/>
  <c r="L23" i="2"/>
  <c r="I25" i="2"/>
  <c r="I32" i="2"/>
  <c r="Q32" i="2" l="1"/>
  <c r="Q25" i="2"/>
  <c r="N25" i="2"/>
  <c r="N27" i="2" s="1"/>
  <c r="AC23" i="2"/>
  <c r="AC32" i="2" s="1"/>
  <c r="AB23" i="2"/>
  <c r="P32" i="2"/>
  <c r="P25" i="2"/>
  <c r="AD32" i="2"/>
  <c r="AD25" i="2"/>
  <c r="O32" i="2"/>
  <c r="O25" i="2"/>
  <c r="V32" i="2"/>
  <c r="V25" i="2"/>
  <c r="W32" i="2"/>
  <c r="W25" i="2"/>
  <c r="X32" i="2"/>
  <c r="X25" i="2"/>
  <c r="Y32" i="2"/>
  <c r="Y25" i="2"/>
  <c r="Z32" i="2"/>
  <c r="Z25" i="2"/>
  <c r="AA34" i="2"/>
  <c r="AA33" i="2"/>
  <c r="H27" i="2"/>
  <c r="H34" i="2"/>
  <c r="C27" i="2"/>
  <c r="C34" i="2"/>
  <c r="D34" i="2"/>
  <c r="D27" i="2"/>
  <c r="E25" i="2"/>
  <c r="E34" i="2" s="1"/>
  <c r="F25" i="2"/>
  <c r="F32" i="2"/>
  <c r="J27" i="2"/>
  <c r="J34" i="2"/>
  <c r="G25" i="2"/>
  <c r="G32" i="2"/>
  <c r="K32" i="2"/>
  <c r="K25" i="2"/>
  <c r="L32" i="2"/>
  <c r="L25" i="2"/>
  <c r="I27" i="2"/>
  <c r="I34" i="2"/>
  <c r="Q34" i="2" l="1"/>
  <c r="Q27" i="2"/>
  <c r="N69" i="2"/>
  <c r="N34" i="2"/>
  <c r="AC25" i="2"/>
  <c r="N28" i="2"/>
  <c r="N33" i="2"/>
  <c r="AB25" i="2"/>
  <c r="AB32" i="2"/>
  <c r="P34" i="2"/>
  <c r="P27" i="2"/>
  <c r="P69" i="2" s="1"/>
  <c r="AD27" i="2"/>
  <c r="AD34" i="2"/>
  <c r="O34" i="2"/>
  <c r="O27" i="2"/>
  <c r="O69" i="2" s="1"/>
  <c r="V34" i="2"/>
  <c r="V27" i="2"/>
  <c r="W34" i="2"/>
  <c r="W27" i="2"/>
  <c r="X34" i="2"/>
  <c r="X27" i="2"/>
  <c r="Y34" i="2"/>
  <c r="Y27" i="2"/>
  <c r="Z34" i="2"/>
  <c r="Z27" i="2"/>
  <c r="H28" i="2"/>
  <c r="H33" i="2"/>
  <c r="C28" i="2"/>
  <c r="C33" i="2"/>
  <c r="D33" i="2"/>
  <c r="D28" i="2"/>
  <c r="E27" i="2"/>
  <c r="E33" i="2" s="1"/>
  <c r="F34" i="2"/>
  <c r="F27" i="2"/>
  <c r="J33" i="2"/>
  <c r="J28" i="2"/>
  <c r="G34" i="2"/>
  <c r="G27" i="2"/>
  <c r="J66" i="2" s="1"/>
  <c r="J67" i="2" s="1"/>
  <c r="K34" i="2"/>
  <c r="K27" i="2"/>
  <c r="L34" i="2"/>
  <c r="L27" i="2"/>
  <c r="I28" i="2"/>
  <c r="I33" i="2"/>
  <c r="Q33" i="2" l="1"/>
  <c r="Q28" i="2"/>
  <c r="P66" i="2"/>
  <c r="O66" i="2"/>
  <c r="O67" i="2" s="1"/>
  <c r="AC27" i="2"/>
  <c r="AC34" i="2"/>
  <c r="L66" i="2"/>
  <c r="L67" i="2" s="1"/>
  <c r="N66" i="2"/>
  <c r="N67" i="2" s="1"/>
  <c r="AB34" i="2"/>
  <c r="AB27" i="2"/>
  <c r="K66" i="2"/>
  <c r="K67" i="2" s="1"/>
  <c r="P33" i="2"/>
  <c r="P28" i="2"/>
  <c r="AD33" i="2"/>
  <c r="AD28" i="2"/>
  <c r="O33" i="2"/>
  <c r="O28" i="2"/>
  <c r="V33" i="2"/>
  <c r="V28" i="2"/>
  <c r="W33" i="2"/>
  <c r="W28" i="2"/>
  <c r="X33" i="2"/>
  <c r="X28" i="2"/>
  <c r="Y33" i="2"/>
  <c r="Y28" i="2"/>
  <c r="Z33" i="2"/>
  <c r="Z28" i="2"/>
  <c r="M66" i="2"/>
  <c r="M67" i="2" s="1"/>
  <c r="E28" i="2"/>
  <c r="F33" i="2"/>
  <c r="F28" i="2"/>
  <c r="G33" i="2"/>
  <c r="G28" i="2"/>
  <c r="K33" i="2"/>
  <c r="K28" i="2"/>
  <c r="L33" i="2"/>
  <c r="L28" i="2"/>
  <c r="AC33" i="2" l="1"/>
  <c r="AC28" i="2"/>
  <c r="AB33" i="2"/>
  <c r="AB28" i="2"/>
</calcChain>
</file>

<file path=xl/sharedStrings.xml><?xml version="1.0" encoding="utf-8"?>
<sst xmlns="http://schemas.openxmlformats.org/spreadsheetml/2006/main" count="130" uniqueCount="94">
  <si>
    <t>Price</t>
  </si>
  <si>
    <t>Shares</t>
  </si>
  <si>
    <t>MC</t>
  </si>
  <si>
    <t>Cash</t>
  </si>
  <si>
    <t>Debt</t>
  </si>
  <si>
    <t>EV</t>
  </si>
  <si>
    <t>Product</t>
  </si>
  <si>
    <t>Service &amp; other</t>
  </si>
  <si>
    <t>Revenue</t>
  </si>
  <si>
    <t>COGS</t>
  </si>
  <si>
    <t>R&amp;D</t>
  </si>
  <si>
    <t>S&amp;M</t>
  </si>
  <si>
    <t>G&amp;A</t>
  </si>
  <si>
    <t>OpEx</t>
  </si>
  <si>
    <t>OpIn</t>
  </si>
  <si>
    <t>Pretax</t>
  </si>
  <si>
    <t>Taxes</t>
  </si>
  <si>
    <t>Interest income</t>
  </si>
  <si>
    <t>Net income</t>
  </si>
  <si>
    <t>EPS</t>
  </si>
  <si>
    <t>Gross profit</t>
  </si>
  <si>
    <t>Revenue y/y</t>
  </si>
  <si>
    <t>Gross margin</t>
  </si>
  <si>
    <t>Operating margin</t>
  </si>
  <si>
    <t>Net margin</t>
  </si>
  <si>
    <t>Tax rate</t>
  </si>
  <si>
    <t>Net cash</t>
  </si>
  <si>
    <t>A/R</t>
  </si>
  <si>
    <t>Inventories</t>
  </si>
  <si>
    <t>Other</t>
  </si>
  <si>
    <t>PP&amp;E</t>
  </si>
  <si>
    <t>Lease</t>
  </si>
  <si>
    <t>Goodwill</t>
  </si>
  <si>
    <t>Assets</t>
  </si>
  <si>
    <t>A/P</t>
  </si>
  <si>
    <t>Accrued compensation</t>
  </si>
  <si>
    <t>D/R</t>
  </si>
  <si>
    <t>DT</t>
  </si>
  <si>
    <t>Liabilities</t>
  </si>
  <si>
    <t>S/E</t>
  </si>
  <si>
    <t>L+S/E</t>
  </si>
  <si>
    <t>TTM</t>
  </si>
  <si>
    <t>Model NI</t>
  </si>
  <si>
    <t>Reported NI</t>
  </si>
  <si>
    <t>D&amp;A</t>
  </si>
  <si>
    <t>SBC</t>
  </si>
  <si>
    <t>Working capital</t>
  </si>
  <si>
    <t>CFFO</t>
  </si>
  <si>
    <t>Issued stock</t>
  </si>
  <si>
    <t>Buybacks</t>
  </si>
  <si>
    <t>Dividends</t>
  </si>
  <si>
    <t>CFFI</t>
  </si>
  <si>
    <t>CapEx</t>
  </si>
  <si>
    <t>Securities</t>
  </si>
  <si>
    <t>Investments</t>
  </si>
  <si>
    <t>CFFF</t>
  </si>
  <si>
    <t>FX</t>
  </si>
  <si>
    <t>CIC</t>
  </si>
  <si>
    <t>FCF</t>
  </si>
  <si>
    <t>Derivatives</t>
  </si>
  <si>
    <t>OCA</t>
  </si>
  <si>
    <t>OLTA</t>
  </si>
  <si>
    <t>OCL</t>
  </si>
  <si>
    <t>OLTL</t>
  </si>
  <si>
    <t>FQ224</t>
  </si>
  <si>
    <t>Gaming</t>
  </si>
  <si>
    <t>LinkedIn</t>
  </si>
  <si>
    <t>Server &amp; Cloud Services</t>
  </si>
  <si>
    <t>Microsoft 365 (Commercial)</t>
  </si>
  <si>
    <t>Windows &amp; Devices</t>
  </si>
  <si>
    <t>Search &amp; Ads</t>
  </si>
  <si>
    <t>Enterprise &amp; Partner Services</t>
  </si>
  <si>
    <t>Dynamics (Cloud &amp; Products)</t>
  </si>
  <si>
    <t>Microsoft 365 (Consumer)</t>
  </si>
  <si>
    <t>FQ323</t>
  </si>
  <si>
    <t>FQ423</t>
  </si>
  <si>
    <t>FQ124</t>
  </si>
  <si>
    <t>FQ324</t>
  </si>
  <si>
    <t>FQ125</t>
  </si>
  <si>
    <t>FQ225</t>
  </si>
  <si>
    <t>FQ325</t>
  </si>
  <si>
    <t>FQ424</t>
  </si>
  <si>
    <t>FQ425</t>
  </si>
  <si>
    <t>FQ223</t>
  </si>
  <si>
    <t>FQ123</t>
  </si>
  <si>
    <t>FQ422</t>
  </si>
  <si>
    <t>FQ322</t>
  </si>
  <si>
    <t>FQ222</t>
  </si>
  <si>
    <t>FQ122</t>
  </si>
  <si>
    <t>y/y</t>
  </si>
  <si>
    <t>margin</t>
  </si>
  <si>
    <t>Total</t>
  </si>
  <si>
    <t>ROTA</t>
  </si>
  <si>
    <t>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</si>
</sst>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1" xfId="0" applyNumberFormat="1" applyBorder="1"/>
    <xf numFmtId="166" fontId="0" fillId="0" borderId="1" xfId="0" applyNumberForma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3" fontId="0" fillId="0" borderId="5" xfId="0" applyNumberFormat="1" applyBorder="1"/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" fillId="0" borderId="7" xfId="0" applyNumberFormat="1" applyFont="1" applyBorder="1"/>
    <xf numFmtId="3" fontId="1" fillId="0" borderId="8" xfId="0" applyNumberFormat="1" applyFont="1" applyBorder="1"/>
    <xf numFmtId="166" fontId="0" fillId="0" borderId="8" xfId="0" applyNumberFormat="1" applyBorder="1" applyAlignment="1">
      <alignment horizontal="center"/>
    </xf>
    <xf numFmtId="3" fontId="0" fillId="0" borderId="13" xfId="0" applyNumberFormat="1" applyBorder="1"/>
    <xf numFmtId="166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0</xdr:rowOff>
    </xdr:from>
    <xdr:to>
      <xdr:col>17</xdr:col>
      <xdr:colOff>19050</xdr:colOff>
      <xdr:row>114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D7D8EF-CC1D-55F6-7215-DBDFFA3D20E0}"/>
            </a:ext>
          </a:extLst>
        </xdr:cNvPr>
        <xdr:cNvCxnSpPr/>
      </xdr:nvCxnSpPr>
      <xdr:spPr>
        <a:xfrm>
          <a:off x="11991975" y="0"/>
          <a:ext cx="0" cy="18497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0</xdr:row>
      <xdr:rowOff>19050</xdr:rowOff>
    </xdr:from>
    <xdr:to>
      <xdr:col>30</xdr:col>
      <xdr:colOff>47625</xdr:colOff>
      <xdr:row>107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9C4D8C-EC64-4F0D-B56A-90D7FF97DE44}"/>
            </a:ext>
          </a:extLst>
        </xdr:cNvPr>
        <xdr:cNvCxnSpPr/>
      </xdr:nvCxnSpPr>
      <xdr:spPr>
        <a:xfrm>
          <a:off x="19088100" y="19050"/>
          <a:ext cx="0" cy="14906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EE37-C3E9-440D-B97D-3EEC1C816773}">
  <dimension ref="B2:L13"/>
  <sheetViews>
    <sheetView tabSelected="1" workbookViewId="0">
      <selection activeCell="J20" sqref="J20"/>
    </sheetView>
  </sheetViews>
  <sheetFormatPr defaultRowHeight="12.75" x14ac:dyDescent="0.2"/>
  <cols>
    <col min="1" max="1" width="2.5703125" customWidth="1"/>
    <col min="2" max="2" width="26.140625" bestFit="1" customWidth="1"/>
  </cols>
  <sheetData>
    <row r="2" spans="2:12" x14ac:dyDescent="0.2">
      <c r="B2" s="26"/>
      <c r="C2" s="27">
        <v>2023</v>
      </c>
      <c r="D2" s="27">
        <v>2024</v>
      </c>
      <c r="E2" s="28" t="s">
        <v>90</v>
      </c>
      <c r="F2" s="29" t="s">
        <v>89</v>
      </c>
      <c r="J2" t="s">
        <v>0</v>
      </c>
      <c r="K2">
        <v>422.66</v>
      </c>
    </row>
    <row r="3" spans="2:12" x14ac:dyDescent="0.2">
      <c r="B3" s="18" t="s">
        <v>67</v>
      </c>
      <c r="C3" s="19">
        <v>79970</v>
      </c>
      <c r="D3" s="19">
        <v>97726</v>
      </c>
      <c r="E3" s="20">
        <f>+D3/$D$13</f>
        <v>0.39868310473968066</v>
      </c>
      <c r="F3" s="21">
        <f>+D3/C3-1</f>
        <v>0.22203326247342758</v>
      </c>
      <c r="J3" t="s">
        <v>1</v>
      </c>
      <c r="K3" s="1">
        <f>+Model!Q29</f>
        <v>7461</v>
      </c>
      <c r="L3" s="15" t="s">
        <v>80</v>
      </c>
    </row>
    <row r="4" spans="2:12" x14ac:dyDescent="0.2">
      <c r="B4" s="22" t="s">
        <v>68</v>
      </c>
      <c r="C4" s="1">
        <v>48848</v>
      </c>
      <c r="D4" s="1">
        <v>54875</v>
      </c>
      <c r="E4" s="23">
        <f t="shared" ref="E4:E12" si="0">+D4/$D$13</f>
        <v>0.22386811465311152</v>
      </c>
      <c r="F4" s="24">
        <f t="shared" ref="F4:F13" si="1">+D4/C4-1</f>
        <v>0.12338273829020641</v>
      </c>
      <c r="J4" t="s">
        <v>2</v>
      </c>
      <c r="K4" s="1">
        <f>+K2*K3</f>
        <v>3153466.2600000002</v>
      </c>
      <c r="L4" s="15"/>
    </row>
    <row r="5" spans="2:12" x14ac:dyDescent="0.2">
      <c r="B5" s="22" t="s">
        <v>65</v>
      </c>
      <c r="C5" s="1">
        <v>21507</v>
      </c>
      <c r="D5" s="1">
        <v>21503</v>
      </c>
      <c r="E5" s="23">
        <f t="shared" si="0"/>
        <v>8.7723664134594204E-2</v>
      </c>
      <c r="F5" s="24">
        <f t="shared" si="1"/>
        <v>-1.8598595806018636E-4</v>
      </c>
      <c r="J5" t="s">
        <v>3</v>
      </c>
      <c r="K5" s="1">
        <f>+Model!Q44</f>
        <v>95653</v>
      </c>
      <c r="L5" s="15" t="s">
        <v>80</v>
      </c>
    </row>
    <row r="6" spans="2:12" x14ac:dyDescent="0.2">
      <c r="B6" s="22" t="s">
        <v>69</v>
      </c>
      <c r="C6" s="1">
        <v>15466</v>
      </c>
      <c r="D6" s="1">
        <v>23244</v>
      </c>
      <c r="E6" s="23">
        <f t="shared" si="0"/>
        <v>9.4826249785820937E-2</v>
      </c>
      <c r="F6" s="24">
        <f t="shared" si="1"/>
        <v>0.50290960817276598</v>
      </c>
      <c r="J6" t="s">
        <v>4</v>
      </c>
      <c r="K6" s="1">
        <f>+Model!Q54</f>
        <v>42881</v>
      </c>
      <c r="L6" s="15" t="s">
        <v>80</v>
      </c>
    </row>
    <row r="7" spans="2:12" x14ac:dyDescent="0.2">
      <c r="B7" s="22" t="s">
        <v>66</v>
      </c>
      <c r="C7" s="1">
        <v>14989</v>
      </c>
      <c r="D7" s="1">
        <v>16372</v>
      </c>
      <c r="E7" s="23">
        <f t="shared" si="0"/>
        <v>6.6791230489307366E-2</v>
      </c>
      <c r="F7" s="24">
        <f t="shared" si="1"/>
        <v>9.2267662952832064E-2</v>
      </c>
      <c r="J7" t="s">
        <v>5</v>
      </c>
      <c r="K7" s="1">
        <f>+K4-K5+K6</f>
        <v>3100694.2600000002</v>
      </c>
    </row>
    <row r="8" spans="2:12" x14ac:dyDescent="0.2">
      <c r="B8" s="22" t="s">
        <v>70</v>
      </c>
      <c r="C8" s="1">
        <v>12158</v>
      </c>
      <c r="D8" s="1">
        <v>12576</v>
      </c>
      <c r="E8" s="23">
        <f t="shared" si="0"/>
        <v>5.13050644169026E-2</v>
      </c>
      <c r="F8" s="24">
        <f t="shared" si="1"/>
        <v>3.4380654712946157E-2</v>
      </c>
      <c r="K8" s="1">
        <v>70031</v>
      </c>
    </row>
    <row r="9" spans="2:12" x14ac:dyDescent="0.2">
      <c r="B9" s="22" t="s">
        <v>71</v>
      </c>
      <c r="C9" s="1">
        <v>7900</v>
      </c>
      <c r="D9" s="1">
        <v>7594</v>
      </c>
      <c r="E9" s="23">
        <f t="shared" si="0"/>
        <v>3.0980491347165903E-2</v>
      </c>
      <c r="F9" s="24">
        <f t="shared" si="1"/>
        <v>-3.8734177215189902E-2</v>
      </c>
      <c r="K9" s="10">
        <f>+K7/K8</f>
        <v>44.276024332081512</v>
      </c>
    </row>
    <row r="10" spans="2:12" x14ac:dyDescent="0.2">
      <c r="B10" s="22" t="s">
        <v>72</v>
      </c>
      <c r="C10" s="1">
        <v>5437</v>
      </c>
      <c r="D10" s="1">
        <v>6481</v>
      </c>
      <c r="E10" s="23">
        <f t="shared" si="0"/>
        <v>2.6439895235841743E-2</v>
      </c>
      <c r="F10" s="24">
        <f t="shared" si="1"/>
        <v>0.19201765679602723</v>
      </c>
      <c r="K10" s="12"/>
    </row>
    <row r="11" spans="2:12" x14ac:dyDescent="0.2">
      <c r="B11" s="22" t="s">
        <v>73</v>
      </c>
      <c r="C11" s="1">
        <v>5521</v>
      </c>
      <c r="D11" s="1">
        <v>4706</v>
      </c>
      <c r="E11" s="23">
        <f t="shared" si="0"/>
        <v>1.9198603144556587E-2</v>
      </c>
      <c r="F11" s="24">
        <f t="shared" si="1"/>
        <v>-0.14761818511139291</v>
      </c>
    </row>
    <row r="12" spans="2:12" ht="13.5" thickBot="1" x14ac:dyDescent="0.25">
      <c r="B12" s="33" t="s">
        <v>29</v>
      </c>
      <c r="C12" s="16">
        <v>119</v>
      </c>
      <c r="D12" s="16">
        <v>45</v>
      </c>
      <c r="E12" s="17">
        <f t="shared" si="0"/>
        <v>1.8358205301849691E-4</v>
      </c>
      <c r="F12" s="34">
        <f t="shared" si="1"/>
        <v>-0.62184873949579833</v>
      </c>
    </row>
    <row r="13" spans="2:12" ht="13.5" thickTop="1" x14ac:dyDescent="0.2">
      <c r="B13" s="30" t="s">
        <v>91</v>
      </c>
      <c r="C13" s="31">
        <f>+SUM(C3:C12)</f>
        <v>211915</v>
      </c>
      <c r="D13" s="31">
        <f>+SUM(D3:D12)</f>
        <v>245122</v>
      </c>
      <c r="E13" s="32">
        <f>+SUM(E3:E12)</f>
        <v>1.0000000000000002</v>
      </c>
      <c r="F13" s="25">
        <f t="shared" si="1"/>
        <v>0.1566996201307127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B83C-5A53-45D8-A3E3-99BCDA67225C}">
  <dimension ref="B1:AO104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Q4" sqref="Q4"/>
    </sheetView>
  </sheetViews>
  <sheetFormatPr defaultRowHeight="12.75" x14ac:dyDescent="0.2"/>
  <cols>
    <col min="1" max="1" width="2.85546875" customWidth="1"/>
    <col min="2" max="2" width="28.85546875" bestFit="1" customWidth="1"/>
    <col min="3" max="17" width="9.85546875" style="3" customWidth="1"/>
    <col min="18" max="18" width="9.85546875" customWidth="1"/>
    <col min="20" max="29" width="9.140625" style="1"/>
  </cols>
  <sheetData>
    <row r="1" spans="2:41" s="13" customFormat="1" x14ac:dyDescent="0.2">
      <c r="C1" s="14">
        <v>44469</v>
      </c>
      <c r="D1" s="14">
        <v>44561</v>
      </c>
      <c r="E1" s="14">
        <v>44651</v>
      </c>
      <c r="F1" s="14">
        <v>44742</v>
      </c>
      <c r="G1" s="13">
        <v>44834</v>
      </c>
      <c r="H1" s="14">
        <v>44926</v>
      </c>
      <c r="I1" s="14">
        <v>45016</v>
      </c>
      <c r="J1" s="14">
        <v>45107</v>
      </c>
      <c r="K1" s="13">
        <v>45199</v>
      </c>
      <c r="L1" s="14">
        <v>45291</v>
      </c>
      <c r="M1" s="14">
        <v>45382</v>
      </c>
      <c r="N1" s="14">
        <v>45473</v>
      </c>
      <c r="O1" s="14">
        <v>45565</v>
      </c>
      <c r="P1" s="14">
        <v>45657</v>
      </c>
      <c r="Q1" s="14">
        <v>45747</v>
      </c>
    </row>
    <row r="2" spans="2:41" x14ac:dyDescent="0.2">
      <c r="C2" s="3" t="s">
        <v>88</v>
      </c>
      <c r="D2" s="3" t="s">
        <v>87</v>
      </c>
      <c r="E2" s="3" t="s">
        <v>86</v>
      </c>
      <c r="F2" s="3" t="s">
        <v>85</v>
      </c>
      <c r="G2" s="3" t="s">
        <v>84</v>
      </c>
      <c r="H2" s="3" t="s">
        <v>83</v>
      </c>
      <c r="I2" s="3" t="s">
        <v>74</v>
      </c>
      <c r="J2" s="3" t="s">
        <v>75</v>
      </c>
      <c r="K2" s="3" t="s">
        <v>76</v>
      </c>
      <c r="L2" s="3" t="s">
        <v>64</v>
      </c>
      <c r="M2" s="3" t="s">
        <v>77</v>
      </c>
      <c r="N2" s="3" t="s">
        <v>81</v>
      </c>
      <c r="O2" s="3" t="s">
        <v>78</v>
      </c>
      <c r="P2" s="3" t="s">
        <v>79</v>
      </c>
      <c r="Q2" s="3" t="s">
        <v>80</v>
      </c>
      <c r="R2" s="3" t="s">
        <v>82</v>
      </c>
      <c r="T2">
        <v>2014</v>
      </c>
      <c r="U2">
        <f>+T2+1</f>
        <v>2015</v>
      </c>
      <c r="V2">
        <f t="shared" ref="V2:AO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</row>
    <row r="3" spans="2:41" s="1" customFormat="1" x14ac:dyDescent="0.2">
      <c r="B3" s="1" t="s">
        <v>67</v>
      </c>
      <c r="C3" s="3">
        <v>15070</v>
      </c>
      <c r="D3" s="3">
        <v>16382</v>
      </c>
      <c r="E3" s="3">
        <v>17038</v>
      </c>
      <c r="F3" s="3">
        <f>+AB3-SUM(C3:E3)</f>
        <v>18860</v>
      </c>
      <c r="G3" s="3">
        <v>18388</v>
      </c>
      <c r="H3" s="3">
        <v>19594</v>
      </c>
      <c r="I3" s="3">
        <v>20025</v>
      </c>
      <c r="J3" s="1">
        <f>+AC3-SUM(G3:I3)</f>
        <v>21963</v>
      </c>
      <c r="K3" s="3">
        <v>18062</v>
      </c>
      <c r="L3" s="3">
        <v>19597</v>
      </c>
      <c r="M3" s="3">
        <v>24832</v>
      </c>
      <c r="N3" s="3">
        <f>+AD3-SUM(K3:M3)</f>
        <v>35235</v>
      </c>
      <c r="O3" s="3">
        <v>22155</v>
      </c>
      <c r="P3" s="3">
        <v>23641</v>
      </c>
      <c r="Q3" s="3">
        <v>24761</v>
      </c>
      <c r="R3" s="3"/>
      <c r="Y3" s="1">
        <v>32622</v>
      </c>
      <c r="Z3" s="1">
        <v>41379</v>
      </c>
      <c r="AA3" s="1">
        <v>52589</v>
      </c>
      <c r="AB3" s="1">
        <v>67350</v>
      </c>
      <c r="AC3" s="1">
        <v>79970</v>
      </c>
      <c r="AD3" s="1">
        <v>97726</v>
      </c>
    </row>
    <row r="4" spans="2:41" s="1" customFormat="1" x14ac:dyDescent="0.2">
      <c r="B4" s="1" t="s">
        <v>68</v>
      </c>
      <c r="C4" s="3">
        <v>10808</v>
      </c>
      <c r="D4" s="3">
        <v>11251</v>
      </c>
      <c r="E4" s="3">
        <v>11164</v>
      </c>
      <c r="F4" s="3">
        <f>+AB4-SUM(C4:E4)</f>
        <v>11747</v>
      </c>
      <c r="G4" s="3">
        <v>11548</v>
      </c>
      <c r="H4" s="3">
        <v>11837</v>
      </c>
      <c r="I4" s="3">
        <v>12468</v>
      </c>
      <c r="J4" s="1">
        <f t="shared" ref="J4:J9" si="1">+AC4-SUM(G4:I4)</f>
        <v>12995</v>
      </c>
      <c r="K4" s="3">
        <v>18044</v>
      </c>
      <c r="L4" s="3">
        <v>18321</v>
      </c>
      <c r="M4" s="3">
        <v>13911</v>
      </c>
      <c r="N4" s="3">
        <f t="shared" ref="N4:N12" si="2">+AD4-SUM(K4:M4)</f>
        <v>4599</v>
      </c>
      <c r="O4" s="3">
        <v>20449</v>
      </c>
      <c r="P4" s="3">
        <v>21117</v>
      </c>
      <c r="Q4" s="3">
        <v>21883</v>
      </c>
      <c r="R4" s="3"/>
      <c r="Y4" s="1">
        <v>31769</v>
      </c>
      <c r="Z4" s="1">
        <v>35316</v>
      </c>
      <c r="AA4" s="1">
        <v>39872</v>
      </c>
      <c r="AB4" s="1">
        <v>44970</v>
      </c>
      <c r="AC4" s="1">
        <v>48848</v>
      </c>
      <c r="AD4" s="1">
        <v>54875</v>
      </c>
    </row>
    <row r="5" spans="2:41" s="1" customFormat="1" x14ac:dyDescent="0.2">
      <c r="B5" s="1" t="s">
        <v>65</v>
      </c>
      <c r="C5" s="3">
        <v>3593</v>
      </c>
      <c r="D5" s="3">
        <v>5442</v>
      </c>
      <c r="E5" s="3">
        <v>3740</v>
      </c>
      <c r="F5" s="3">
        <f>+AB5-SUM(C5:E5)</f>
        <v>11957</v>
      </c>
      <c r="G5" s="3">
        <v>3610</v>
      </c>
      <c r="H5" s="3">
        <v>4758</v>
      </c>
      <c r="I5" s="3">
        <v>3607</v>
      </c>
      <c r="J5" s="1">
        <f t="shared" si="1"/>
        <v>9532</v>
      </c>
      <c r="K5" s="3">
        <v>3919</v>
      </c>
      <c r="L5" s="3">
        <v>7111</v>
      </c>
      <c r="M5" s="1">
        <v>5451</v>
      </c>
      <c r="N5" s="3">
        <f t="shared" si="2"/>
        <v>5022</v>
      </c>
      <c r="O5" s="3">
        <v>5621</v>
      </c>
      <c r="P5" s="3">
        <v>6581</v>
      </c>
      <c r="Q5" s="3">
        <v>5721</v>
      </c>
      <c r="R5" s="3"/>
      <c r="Y5" s="1">
        <v>11386</v>
      </c>
      <c r="Z5" s="1">
        <v>11575</v>
      </c>
      <c r="AA5" s="1">
        <v>15370</v>
      </c>
      <c r="AB5" s="1">
        <v>24732</v>
      </c>
      <c r="AC5" s="1">
        <v>21507</v>
      </c>
      <c r="AD5" s="1">
        <v>21503</v>
      </c>
    </row>
    <row r="6" spans="2:41" s="1" customFormat="1" x14ac:dyDescent="0.2">
      <c r="B6" s="1" t="s">
        <v>69</v>
      </c>
      <c r="C6" s="3"/>
      <c r="D6" s="3"/>
      <c r="E6" s="3"/>
      <c r="F6" s="3"/>
      <c r="G6" s="3"/>
      <c r="H6" s="3"/>
      <c r="I6" s="3"/>
      <c r="K6" s="3">
        <v>4340</v>
      </c>
      <c r="L6" s="3">
        <v>4363</v>
      </c>
      <c r="M6" s="3">
        <v>5929</v>
      </c>
      <c r="N6" s="3">
        <f t="shared" si="2"/>
        <v>8612</v>
      </c>
      <c r="O6" s="3">
        <v>4329</v>
      </c>
      <c r="P6" s="3">
        <v>4512</v>
      </c>
      <c r="Q6" s="1">
        <v>4144</v>
      </c>
      <c r="R6" s="3"/>
      <c r="Y6" s="1">
        <v>20395</v>
      </c>
      <c r="Z6" s="1">
        <v>22294</v>
      </c>
      <c r="AA6" s="1">
        <v>23227</v>
      </c>
      <c r="AB6" s="1">
        <v>16230</v>
      </c>
      <c r="AC6" s="1">
        <v>15466</v>
      </c>
      <c r="AD6" s="1">
        <v>23244</v>
      </c>
    </row>
    <row r="7" spans="2:41" s="1" customFormat="1" x14ac:dyDescent="0.2">
      <c r="B7" s="1" t="s">
        <v>66</v>
      </c>
      <c r="C7" s="3">
        <v>3136</v>
      </c>
      <c r="D7" s="3">
        <v>3531</v>
      </c>
      <c r="E7" s="3">
        <v>3437</v>
      </c>
      <c r="F7" s="3">
        <f t="shared" ref="F7:F9" si="3">+AB7-SUM(C7:E7)</f>
        <v>3527</v>
      </c>
      <c r="G7" s="3">
        <v>3663</v>
      </c>
      <c r="H7" s="3">
        <v>3876</v>
      </c>
      <c r="I7" s="3">
        <v>3659</v>
      </c>
      <c r="J7" s="1">
        <f t="shared" si="1"/>
        <v>3791</v>
      </c>
      <c r="K7" s="3">
        <v>3913</v>
      </c>
      <c r="L7" s="3">
        <v>4195</v>
      </c>
      <c r="M7" s="3">
        <v>4013</v>
      </c>
      <c r="N7" s="3">
        <f t="shared" si="2"/>
        <v>4251</v>
      </c>
      <c r="O7" s="3">
        <v>4292</v>
      </c>
      <c r="P7" s="3">
        <v>4587</v>
      </c>
      <c r="Q7" s="3">
        <v>4311</v>
      </c>
      <c r="R7" s="3"/>
      <c r="Y7" s="1">
        <v>6754</v>
      </c>
      <c r="Z7" s="1">
        <v>8077</v>
      </c>
      <c r="AA7" s="1">
        <v>10289</v>
      </c>
      <c r="AB7" s="1">
        <v>13631</v>
      </c>
      <c r="AC7" s="1">
        <v>14989</v>
      </c>
      <c r="AD7" s="1">
        <v>16372</v>
      </c>
    </row>
    <row r="8" spans="2:41" s="1" customFormat="1" x14ac:dyDescent="0.2">
      <c r="B8" s="1" t="s">
        <v>70</v>
      </c>
      <c r="C8" s="3">
        <v>2656</v>
      </c>
      <c r="D8" s="3">
        <v>3064</v>
      </c>
      <c r="E8" s="3">
        <v>2945</v>
      </c>
      <c r="F8" s="3">
        <f t="shared" si="3"/>
        <v>2861</v>
      </c>
      <c r="G8" s="3">
        <v>2928</v>
      </c>
      <c r="H8" s="3">
        <v>3223</v>
      </c>
      <c r="I8" s="3">
        <v>3036</v>
      </c>
      <c r="J8" s="1">
        <f t="shared" si="1"/>
        <v>2971</v>
      </c>
      <c r="K8" s="3">
        <v>3018</v>
      </c>
      <c r="L8" s="3">
        <v>3168</v>
      </c>
      <c r="M8" s="3">
        <v>3134</v>
      </c>
      <c r="N8" s="3">
        <f t="shared" si="2"/>
        <v>3256</v>
      </c>
      <c r="O8" s="3">
        <v>3225</v>
      </c>
      <c r="P8" s="3">
        <v>3558</v>
      </c>
      <c r="Q8" s="3">
        <v>3504</v>
      </c>
      <c r="R8" s="3"/>
      <c r="Y8" s="1">
        <v>7628</v>
      </c>
      <c r="Z8" s="1">
        <v>7740</v>
      </c>
      <c r="AA8" s="1">
        <v>8528</v>
      </c>
      <c r="AB8" s="1">
        <v>11526</v>
      </c>
      <c r="AC8" s="1">
        <v>12158</v>
      </c>
      <c r="AD8" s="1">
        <v>12576</v>
      </c>
    </row>
    <row r="9" spans="2:41" s="1" customFormat="1" x14ac:dyDescent="0.2">
      <c r="B9" s="1" t="s">
        <v>71</v>
      </c>
      <c r="C9" s="3">
        <v>1791</v>
      </c>
      <c r="D9" s="3">
        <v>1823</v>
      </c>
      <c r="E9" s="3">
        <v>1891</v>
      </c>
      <c r="F9" s="3">
        <f t="shared" si="3"/>
        <v>2100</v>
      </c>
      <c r="G9" s="3">
        <v>1876</v>
      </c>
      <c r="H9" s="3">
        <v>1862</v>
      </c>
      <c r="I9" s="3">
        <v>2047</v>
      </c>
      <c r="J9" s="1">
        <f t="shared" si="1"/>
        <v>2115</v>
      </c>
      <c r="K9" s="3">
        <v>1944</v>
      </c>
      <c r="L9" s="3">
        <v>1917</v>
      </c>
      <c r="M9" s="3">
        <v>1861</v>
      </c>
      <c r="N9" s="3">
        <f t="shared" si="2"/>
        <v>1872</v>
      </c>
      <c r="O9" s="3">
        <v>1928</v>
      </c>
      <c r="P9" s="3">
        <v>1892</v>
      </c>
      <c r="Q9" s="3">
        <v>1946</v>
      </c>
      <c r="R9" s="3"/>
      <c r="Y9" s="1">
        <v>6124</v>
      </c>
      <c r="Z9" s="1">
        <v>6409</v>
      </c>
      <c r="AA9" s="1">
        <v>6943</v>
      </c>
      <c r="AB9" s="1">
        <v>7605</v>
      </c>
      <c r="AC9" s="1">
        <v>7900</v>
      </c>
      <c r="AD9" s="1">
        <v>7594</v>
      </c>
    </row>
    <row r="10" spans="2:41" s="1" customFormat="1" x14ac:dyDescent="0.2">
      <c r="B10" s="1" t="s">
        <v>72</v>
      </c>
      <c r="C10" s="3"/>
      <c r="E10" s="3"/>
      <c r="F10" s="3"/>
      <c r="G10" s="3"/>
      <c r="I10" s="3"/>
      <c r="K10" s="3">
        <v>1626</v>
      </c>
      <c r="L10" s="3">
        <v>1659</v>
      </c>
      <c r="M10" s="3">
        <v>1646</v>
      </c>
      <c r="N10" s="3">
        <f t="shared" si="2"/>
        <v>1550</v>
      </c>
      <c r="O10" s="3">
        <v>1849</v>
      </c>
      <c r="P10" s="3">
        <v>1913</v>
      </c>
      <c r="Q10" s="3">
        <v>1929</v>
      </c>
      <c r="R10" s="3"/>
      <c r="Y10" s="1">
        <v>3070</v>
      </c>
      <c r="Z10" s="1">
        <v>3768</v>
      </c>
      <c r="AA10" s="1">
        <v>4479</v>
      </c>
      <c r="AB10" s="1">
        <v>4687</v>
      </c>
      <c r="AC10" s="1">
        <v>5437</v>
      </c>
      <c r="AD10" s="1">
        <v>6481</v>
      </c>
    </row>
    <row r="11" spans="2:41" s="1" customFormat="1" x14ac:dyDescent="0.2">
      <c r="B11" s="1" t="s">
        <v>73</v>
      </c>
      <c r="C11" s="3"/>
      <c r="D11" s="3"/>
      <c r="E11" s="3"/>
      <c r="F11" s="3"/>
      <c r="G11" s="3"/>
      <c r="H11" s="3"/>
      <c r="I11" s="3"/>
      <c r="K11" s="3">
        <v>1643</v>
      </c>
      <c r="L11" s="3">
        <v>1679</v>
      </c>
      <c r="M11" s="3">
        <v>1067</v>
      </c>
      <c r="N11" s="3">
        <f>+AD11-SUM(K11:M11)</f>
        <v>317</v>
      </c>
      <c r="O11" s="3">
        <v>1727</v>
      </c>
      <c r="P11" s="3">
        <v>1821</v>
      </c>
      <c r="Q11" s="3">
        <v>1821</v>
      </c>
      <c r="R11" s="3"/>
      <c r="Y11" s="1">
        <v>6095</v>
      </c>
      <c r="Z11" s="1">
        <v>6457</v>
      </c>
      <c r="AA11" s="1">
        <v>6791</v>
      </c>
      <c r="AB11" s="1">
        <v>7306</v>
      </c>
      <c r="AC11" s="1">
        <v>5521</v>
      </c>
      <c r="AD11" s="1">
        <v>4706</v>
      </c>
    </row>
    <row r="12" spans="2:41" s="1" customFormat="1" x14ac:dyDescent="0.2">
      <c r="B12" s="1" t="s">
        <v>29</v>
      </c>
      <c r="C12" s="3"/>
      <c r="D12" s="3"/>
      <c r="E12" s="3"/>
      <c r="F12" s="3"/>
      <c r="G12" s="3"/>
      <c r="H12" s="3"/>
      <c r="I12" s="3"/>
      <c r="K12" s="3">
        <v>8</v>
      </c>
      <c r="L12" s="3">
        <v>10</v>
      </c>
      <c r="M12" s="3">
        <v>14</v>
      </c>
      <c r="N12" s="3">
        <f t="shared" si="2"/>
        <v>13</v>
      </c>
      <c r="O12" s="3">
        <v>10</v>
      </c>
      <c r="P12" s="3">
        <v>10</v>
      </c>
      <c r="Q12" s="3">
        <v>46</v>
      </c>
      <c r="R12" s="3"/>
      <c r="Y12" s="1">
        <v>0</v>
      </c>
      <c r="Z12" s="1">
        <v>0</v>
      </c>
      <c r="AA12" s="1">
        <v>0</v>
      </c>
      <c r="AB12" s="1">
        <v>233</v>
      </c>
      <c r="AC12" s="1">
        <v>119</v>
      </c>
      <c r="AD12" s="1">
        <v>45</v>
      </c>
    </row>
    <row r="13" spans="2:41" x14ac:dyDescent="0.2">
      <c r="R13" s="3"/>
      <c r="T13"/>
      <c r="U13"/>
      <c r="V13"/>
      <c r="W13"/>
      <c r="X13"/>
      <c r="Y13"/>
      <c r="Z13"/>
      <c r="AA13"/>
      <c r="AB13"/>
      <c r="AC13"/>
    </row>
    <row r="14" spans="2:41" x14ac:dyDescent="0.2">
      <c r="B14" t="s">
        <v>6</v>
      </c>
      <c r="C14" s="3">
        <v>16631</v>
      </c>
      <c r="D14" s="3">
        <v>20779</v>
      </c>
      <c r="E14" s="3">
        <v>17366</v>
      </c>
      <c r="F14" s="3">
        <v>17956</v>
      </c>
      <c r="G14" s="3">
        <v>15741</v>
      </c>
      <c r="H14" s="3">
        <v>16517</v>
      </c>
      <c r="I14" s="3">
        <v>15588</v>
      </c>
      <c r="J14" s="3">
        <v>16853</v>
      </c>
      <c r="K14" s="3">
        <v>15535</v>
      </c>
      <c r="L14" s="3">
        <v>18941</v>
      </c>
      <c r="M14" s="3">
        <v>17080</v>
      </c>
      <c r="N14" s="3">
        <f>+AD14-SUM(K14:M14)</f>
        <v>13217</v>
      </c>
      <c r="O14" s="3">
        <v>15272</v>
      </c>
      <c r="P14" s="3">
        <v>16219</v>
      </c>
      <c r="Q14" s="3">
        <v>15319</v>
      </c>
      <c r="V14" s="1">
        <v>67336</v>
      </c>
      <c r="W14" s="1">
        <v>63811</v>
      </c>
      <c r="X14" s="1">
        <v>64497</v>
      </c>
      <c r="Y14" s="1">
        <v>66069</v>
      </c>
      <c r="Z14" s="1">
        <v>68041</v>
      </c>
      <c r="AA14" s="1">
        <v>71074</v>
      </c>
      <c r="AB14" s="1">
        <f>+SUM(C14:F14)</f>
        <v>72732</v>
      </c>
      <c r="AC14" s="1">
        <f>+SUM(G14:J14)</f>
        <v>64699</v>
      </c>
      <c r="AD14" s="1">
        <v>64773</v>
      </c>
    </row>
    <row r="15" spans="2:41" x14ac:dyDescent="0.2">
      <c r="B15" t="s">
        <v>7</v>
      </c>
      <c r="C15" s="3">
        <v>28686</v>
      </c>
      <c r="D15" s="3">
        <v>30949</v>
      </c>
      <c r="E15" s="3">
        <v>31994</v>
      </c>
      <c r="F15" s="3">
        <v>33909</v>
      </c>
      <c r="G15" s="3">
        <v>34381</v>
      </c>
      <c r="H15" s="3">
        <v>36230</v>
      </c>
      <c r="I15" s="3">
        <v>37269</v>
      </c>
      <c r="J15" s="3">
        <v>39336</v>
      </c>
      <c r="K15" s="3">
        <v>40982</v>
      </c>
      <c r="L15" s="3">
        <v>43079</v>
      </c>
      <c r="M15" s="3">
        <v>44778</v>
      </c>
      <c r="N15" s="3">
        <f>+AD15-SUM(K15:M15)</f>
        <v>51510</v>
      </c>
      <c r="O15" s="3">
        <v>50313</v>
      </c>
      <c r="P15" s="3">
        <v>53413</v>
      </c>
      <c r="Q15" s="3">
        <v>54747</v>
      </c>
      <c r="V15" s="1">
        <v>23818</v>
      </c>
      <c r="W15" s="1">
        <v>32760</v>
      </c>
      <c r="X15" s="1">
        <v>45863</v>
      </c>
      <c r="Y15" s="1">
        <v>59774</v>
      </c>
      <c r="Z15" s="1">
        <v>74974</v>
      </c>
      <c r="AA15" s="1">
        <v>97014</v>
      </c>
      <c r="AB15" s="1">
        <f>+SUM(C15:F15)</f>
        <v>125538</v>
      </c>
      <c r="AC15" s="1">
        <f>+SUM(G15:J15)</f>
        <v>147216</v>
      </c>
      <c r="AD15" s="1">
        <v>180349</v>
      </c>
    </row>
    <row r="16" spans="2:41" s="2" customFormat="1" x14ac:dyDescent="0.2">
      <c r="B16" s="2" t="s">
        <v>8</v>
      </c>
      <c r="C16" s="4">
        <f t="shared" ref="C16:N16" si="4">+C14+C15</f>
        <v>45317</v>
      </c>
      <c r="D16" s="4">
        <f t="shared" si="4"/>
        <v>51728</v>
      </c>
      <c r="E16" s="4">
        <f t="shared" si="4"/>
        <v>49360</v>
      </c>
      <c r="F16" s="4">
        <f t="shared" si="4"/>
        <v>51865</v>
      </c>
      <c r="G16" s="4">
        <f t="shared" si="4"/>
        <v>50122</v>
      </c>
      <c r="H16" s="4">
        <f t="shared" si="4"/>
        <v>52747</v>
      </c>
      <c r="I16" s="4">
        <f t="shared" si="4"/>
        <v>52857</v>
      </c>
      <c r="J16" s="4">
        <f t="shared" si="4"/>
        <v>56189</v>
      </c>
      <c r="K16" s="4">
        <f t="shared" si="4"/>
        <v>56517</v>
      </c>
      <c r="L16" s="4">
        <f t="shared" si="4"/>
        <v>62020</v>
      </c>
      <c r="M16" s="4">
        <f t="shared" si="4"/>
        <v>61858</v>
      </c>
      <c r="N16" s="4">
        <f t="shared" si="4"/>
        <v>64727</v>
      </c>
      <c r="O16" s="4">
        <f t="shared" ref="O16:P16" si="5">+O14+O15</f>
        <v>65585</v>
      </c>
      <c r="P16" s="4">
        <f t="shared" si="5"/>
        <v>69632</v>
      </c>
      <c r="Q16" s="4">
        <f t="shared" ref="Q16" si="6">+Q14+Q15</f>
        <v>70066</v>
      </c>
      <c r="T16" s="11"/>
      <c r="U16" s="11"/>
      <c r="V16" s="4">
        <f t="shared" ref="V16:AC16" si="7">+V14+V15</f>
        <v>91154</v>
      </c>
      <c r="W16" s="4">
        <f t="shared" si="7"/>
        <v>96571</v>
      </c>
      <c r="X16" s="4">
        <f t="shared" si="7"/>
        <v>110360</v>
      </c>
      <c r="Y16" s="4">
        <f t="shared" si="7"/>
        <v>125843</v>
      </c>
      <c r="Z16" s="4">
        <f t="shared" si="7"/>
        <v>143015</v>
      </c>
      <c r="AA16" s="4">
        <f t="shared" si="7"/>
        <v>168088</v>
      </c>
      <c r="AB16" s="4">
        <f t="shared" si="7"/>
        <v>198270</v>
      </c>
      <c r="AC16" s="4">
        <f t="shared" si="7"/>
        <v>211915</v>
      </c>
      <c r="AD16" s="4">
        <f t="shared" ref="AD16" si="8">+AD14+AD15</f>
        <v>245122</v>
      </c>
    </row>
    <row r="17" spans="2:30" x14ac:dyDescent="0.2">
      <c r="B17" t="s">
        <v>9</v>
      </c>
      <c r="C17" s="3">
        <v>13646</v>
      </c>
      <c r="D17" s="3">
        <v>16960</v>
      </c>
      <c r="E17" s="3">
        <v>15615</v>
      </c>
      <c r="F17" s="3">
        <v>16429</v>
      </c>
      <c r="G17" s="3">
        <v>15452</v>
      </c>
      <c r="H17" s="3">
        <v>17488</v>
      </c>
      <c r="I17" s="3">
        <v>16128</v>
      </c>
      <c r="J17" s="3">
        <v>16795</v>
      </c>
      <c r="K17" s="3">
        <v>16302</v>
      </c>
      <c r="L17" s="3">
        <v>19623</v>
      </c>
      <c r="M17" s="3">
        <v>18505</v>
      </c>
      <c r="N17" s="3">
        <f>+AD17-SUM(K17:M17)</f>
        <v>19684</v>
      </c>
      <c r="O17" s="3">
        <v>20099</v>
      </c>
      <c r="P17" s="3">
        <v>21799</v>
      </c>
      <c r="Q17" s="3">
        <v>21919</v>
      </c>
      <c r="V17" s="1">
        <v>32780</v>
      </c>
      <c r="W17" s="1">
        <v>34261</v>
      </c>
      <c r="X17" s="1">
        <v>38353</v>
      </c>
      <c r="Y17" s="1">
        <v>42910</v>
      </c>
      <c r="Z17" s="1">
        <v>46078</v>
      </c>
      <c r="AA17" s="1">
        <v>52232</v>
      </c>
      <c r="AB17" s="1">
        <f>+SUM(C17:F17)</f>
        <v>62650</v>
      </c>
      <c r="AC17" s="1">
        <f>+SUM(G17:J17)</f>
        <v>65863</v>
      </c>
      <c r="AD17" s="1">
        <v>74114</v>
      </c>
    </row>
    <row r="18" spans="2:30" s="2" customFormat="1" x14ac:dyDescent="0.2">
      <c r="B18" s="2" t="s">
        <v>20</v>
      </c>
      <c r="C18" s="4">
        <f t="shared" ref="C18:N18" si="9">+C16-C17</f>
        <v>31671</v>
      </c>
      <c r="D18" s="4">
        <f t="shared" si="9"/>
        <v>34768</v>
      </c>
      <c r="E18" s="4">
        <f t="shared" si="9"/>
        <v>33745</v>
      </c>
      <c r="F18" s="4">
        <f t="shared" si="9"/>
        <v>35436</v>
      </c>
      <c r="G18" s="4">
        <f t="shared" si="9"/>
        <v>34670</v>
      </c>
      <c r="H18" s="4">
        <f t="shared" si="9"/>
        <v>35259</v>
      </c>
      <c r="I18" s="4">
        <f t="shared" si="9"/>
        <v>36729</v>
      </c>
      <c r="J18" s="4">
        <f t="shared" si="9"/>
        <v>39394</v>
      </c>
      <c r="K18" s="4">
        <f t="shared" si="9"/>
        <v>40215</v>
      </c>
      <c r="L18" s="4">
        <f t="shared" si="9"/>
        <v>42397</v>
      </c>
      <c r="M18" s="4">
        <f t="shared" si="9"/>
        <v>43353</v>
      </c>
      <c r="N18" s="4">
        <f t="shared" si="9"/>
        <v>45043</v>
      </c>
      <c r="O18" s="4">
        <f t="shared" ref="O18:P18" si="10">+O16-O17</f>
        <v>45486</v>
      </c>
      <c r="P18" s="4">
        <f t="shared" si="10"/>
        <v>47833</v>
      </c>
      <c r="Q18" s="4">
        <f t="shared" ref="Q18" si="11">+Q16-Q17</f>
        <v>48147</v>
      </c>
      <c r="T18" s="11"/>
      <c r="U18" s="11"/>
      <c r="V18" s="4">
        <f t="shared" ref="V18:AC18" si="12">+V16-V17</f>
        <v>58374</v>
      </c>
      <c r="W18" s="4">
        <f t="shared" si="12"/>
        <v>62310</v>
      </c>
      <c r="X18" s="4">
        <f t="shared" si="12"/>
        <v>72007</v>
      </c>
      <c r="Y18" s="4">
        <f t="shared" si="12"/>
        <v>82933</v>
      </c>
      <c r="Z18" s="4">
        <f t="shared" si="12"/>
        <v>96937</v>
      </c>
      <c r="AA18" s="4">
        <f t="shared" si="12"/>
        <v>115856</v>
      </c>
      <c r="AB18" s="4">
        <f t="shared" si="12"/>
        <v>135620</v>
      </c>
      <c r="AC18" s="4">
        <f t="shared" si="12"/>
        <v>146052</v>
      </c>
      <c r="AD18" s="4">
        <f t="shared" ref="AD18" si="13">+AD16-AD17</f>
        <v>171008</v>
      </c>
    </row>
    <row r="19" spans="2:30" x14ac:dyDescent="0.2">
      <c r="B19" t="s">
        <v>10</v>
      </c>
      <c r="C19" s="3">
        <v>5599</v>
      </c>
      <c r="D19" s="3">
        <v>5758</v>
      </c>
      <c r="E19" s="3">
        <v>6306</v>
      </c>
      <c r="F19" s="3">
        <v>6849</v>
      </c>
      <c r="G19" s="3">
        <v>6628</v>
      </c>
      <c r="H19" s="3">
        <v>6844</v>
      </c>
      <c r="I19" s="3">
        <v>6984</v>
      </c>
      <c r="J19" s="3">
        <v>6739</v>
      </c>
      <c r="K19" s="3">
        <v>6659</v>
      </c>
      <c r="L19" s="3">
        <v>7142</v>
      </c>
      <c r="M19" s="3">
        <v>7653</v>
      </c>
      <c r="N19" s="3">
        <f t="shared" ref="N19:N21" si="14">+AD19-SUM(K19:M19)</f>
        <v>8056</v>
      </c>
      <c r="O19" s="3">
        <v>7544</v>
      </c>
      <c r="P19" s="3">
        <v>7917</v>
      </c>
      <c r="Q19" s="3">
        <v>8198</v>
      </c>
      <c r="V19" s="1">
        <v>11988</v>
      </c>
      <c r="W19" s="1">
        <v>13037</v>
      </c>
      <c r="X19" s="1">
        <v>14726</v>
      </c>
      <c r="Y19" s="1">
        <v>16876</v>
      </c>
      <c r="Z19" s="1">
        <v>19269</v>
      </c>
      <c r="AA19" s="1">
        <v>20716</v>
      </c>
      <c r="AB19" s="1">
        <f>+SUM(C19:F19)</f>
        <v>24512</v>
      </c>
      <c r="AC19" s="1">
        <f>+SUM(G19:J19)</f>
        <v>27195</v>
      </c>
      <c r="AD19" s="1">
        <v>29510</v>
      </c>
    </row>
    <row r="20" spans="2:30" x14ac:dyDescent="0.2">
      <c r="B20" t="s">
        <v>11</v>
      </c>
      <c r="C20" s="3">
        <v>4547</v>
      </c>
      <c r="D20" s="3">
        <v>5379</v>
      </c>
      <c r="E20" s="3">
        <v>5595</v>
      </c>
      <c r="F20" s="3">
        <v>6304</v>
      </c>
      <c r="G20" s="3">
        <v>5126</v>
      </c>
      <c r="H20" s="3">
        <v>5679</v>
      </c>
      <c r="I20" s="3">
        <v>5750</v>
      </c>
      <c r="J20" s="3">
        <v>6204</v>
      </c>
      <c r="K20" s="3">
        <v>5187</v>
      </c>
      <c r="L20" s="3">
        <v>6246</v>
      </c>
      <c r="M20" s="3">
        <v>6207</v>
      </c>
      <c r="N20" s="3">
        <f t="shared" si="14"/>
        <v>6816</v>
      </c>
      <c r="O20" s="3">
        <v>5717</v>
      </c>
      <c r="P20" s="3">
        <v>6440</v>
      </c>
      <c r="Q20" s="3">
        <v>8198</v>
      </c>
      <c r="V20" s="1">
        <v>14635</v>
      </c>
      <c r="W20" s="1">
        <v>15461</v>
      </c>
      <c r="X20" s="1">
        <v>17469</v>
      </c>
      <c r="Y20" s="1">
        <v>18213</v>
      </c>
      <c r="Z20" s="1">
        <v>19598</v>
      </c>
      <c r="AA20" s="1">
        <v>20117</v>
      </c>
      <c r="AB20" s="1">
        <f>+SUM(C20:F20)</f>
        <v>21825</v>
      </c>
      <c r="AC20" s="1">
        <f>+SUM(G20:J20)</f>
        <v>22759</v>
      </c>
      <c r="AD20" s="1">
        <v>24456</v>
      </c>
    </row>
    <row r="21" spans="2:30" x14ac:dyDescent="0.2">
      <c r="B21" t="s">
        <v>12</v>
      </c>
      <c r="C21" s="3">
        <v>1287</v>
      </c>
      <c r="D21" s="3">
        <v>1384</v>
      </c>
      <c r="E21" s="3">
        <v>1480</v>
      </c>
      <c r="F21" s="3">
        <v>1749</v>
      </c>
      <c r="G21" s="3">
        <v>1398</v>
      </c>
      <c r="H21" s="3">
        <v>2337</v>
      </c>
      <c r="I21" s="3">
        <v>1643</v>
      </c>
      <c r="J21" s="3">
        <v>2197</v>
      </c>
      <c r="K21" s="3">
        <v>1474</v>
      </c>
      <c r="L21" s="3">
        <v>1977</v>
      </c>
      <c r="M21" s="3">
        <v>1912</v>
      </c>
      <c r="N21" s="3">
        <f t="shared" si="14"/>
        <v>2246</v>
      </c>
      <c r="O21" s="3">
        <v>1673</v>
      </c>
      <c r="P21" s="3">
        <v>1823</v>
      </c>
      <c r="Q21" s="3">
        <v>1737</v>
      </c>
      <c r="V21" s="1">
        <v>4563</v>
      </c>
      <c r="W21" s="1">
        <v>4481</v>
      </c>
      <c r="X21" s="1">
        <v>4754</v>
      </c>
      <c r="Y21" s="1">
        <v>4885</v>
      </c>
      <c r="Z21" s="1">
        <v>5111</v>
      </c>
      <c r="AA21" s="1">
        <v>5107</v>
      </c>
      <c r="AB21" s="1">
        <f>+SUM(C21:F21)</f>
        <v>5900</v>
      </c>
      <c r="AC21" s="1">
        <f>+SUM(G21:J21)</f>
        <v>7575</v>
      </c>
      <c r="AD21" s="1">
        <v>7609</v>
      </c>
    </row>
    <row r="22" spans="2:30" x14ac:dyDescent="0.2">
      <c r="B22" t="s">
        <v>13</v>
      </c>
      <c r="C22" s="3">
        <f t="shared" ref="C22:M22" si="15">+SUM(C19:C21)</f>
        <v>11433</v>
      </c>
      <c r="D22" s="3">
        <f t="shared" si="15"/>
        <v>12521</v>
      </c>
      <c r="E22" s="3">
        <f t="shared" si="15"/>
        <v>13381</v>
      </c>
      <c r="F22" s="3">
        <f t="shared" si="15"/>
        <v>14902</v>
      </c>
      <c r="G22" s="3">
        <f t="shared" si="15"/>
        <v>13152</v>
      </c>
      <c r="H22" s="3">
        <f t="shared" si="15"/>
        <v>14860</v>
      </c>
      <c r="I22" s="3">
        <f t="shared" si="15"/>
        <v>14377</v>
      </c>
      <c r="J22" s="3">
        <f t="shared" si="15"/>
        <v>15140</v>
      </c>
      <c r="K22" s="3">
        <f t="shared" si="15"/>
        <v>13320</v>
      </c>
      <c r="L22" s="3">
        <f t="shared" si="15"/>
        <v>15365</v>
      </c>
      <c r="M22" s="3">
        <f t="shared" si="15"/>
        <v>15772</v>
      </c>
      <c r="N22" s="3">
        <f t="shared" ref="N22" si="16">+SUM(N19:N21)</f>
        <v>17118</v>
      </c>
      <c r="O22" s="3">
        <f t="shared" ref="O22:P22" si="17">+SUM(O19:O21)</f>
        <v>14934</v>
      </c>
      <c r="P22" s="3">
        <f t="shared" si="17"/>
        <v>16180</v>
      </c>
      <c r="Q22" s="3">
        <f t="shared" ref="Q22" si="18">+SUM(Q19:Q21)</f>
        <v>18133</v>
      </c>
      <c r="V22" s="3">
        <f t="shared" ref="V22:AC22" si="19">+SUM(V19:V21)</f>
        <v>31186</v>
      </c>
      <c r="W22" s="3">
        <f t="shared" si="19"/>
        <v>32979</v>
      </c>
      <c r="X22" s="3">
        <f t="shared" si="19"/>
        <v>36949</v>
      </c>
      <c r="Y22" s="3">
        <f t="shared" si="19"/>
        <v>39974</v>
      </c>
      <c r="Z22" s="3">
        <f t="shared" si="19"/>
        <v>43978</v>
      </c>
      <c r="AA22" s="3">
        <f t="shared" si="19"/>
        <v>45940</v>
      </c>
      <c r="AB22" s="3">
        <f t="shared" si="19"/>
        <v>52237</v>
      </c>
      <c r="AC22" s="3">
        <f t="shared" si="19"/>
        <v>57529</v>
      </c>
      <c r="AD22" s="3">
        <f t="shared" ref="AD22" si="20">+SUM(AD19:AD21)</f>
        <v>61575</v>
      </c>
    </row>
    <row r="23" spans="2:30" s="2" customFormat="1" x14ac:dyDescent="0.2">
      <c r="B23" s="2" t="s">
        <v>14</v>
      </c>
      <c r="C23" s="4">
        <f t="shared" ref="C23:M23" si="21">+C18-C22</f>
        <v>20238</v>
      </c>
      <c r="D23" s="4">
        <f t="shared" si="21"/>
        <v>22247</v>
      </c>
      <c r="E23" s="4">
        <f t="shared" si="21"/>
        <v>20364</v>
      </c>
      <c r="F23" s="4">
        <f t="shared" si="21"/>
        <v>20534</v>
      </c>
      <c r="G23" s="4">
        <f t="shared" si="21"/>
        <v>21518</v>
      </c>
      <c r="H23" s="4">
        <f t="shared" si="21"/>
        <v>20399</v>
      </c>
      <c r="I23" s="4">
        <f t="shared" si="21"/>
        <v>22352</v>
      </c>
      <c r="J23" s="4">
        <f t="shared" si="21"/>
        <v>24254</v>
      </c>
      <c r="K23" s="4">
        <f t="shared" si="21"/>
        <v>26895</v>
      </c>
      <c r="L23" s="4">
        <f t="shared" si="21"/>
        <v>27032</v>
      </c>
      <c r="M23" s="4">
        <f t="shared" si="21"/>
        <v>27581</v>
      </c>
      <c r="N23" s="4">
        <f t="shared" ref="N23" si="22">+N18-N22</f>
        <v>27925</v>
      </c>
      <c r="O23" s="4">
        <f t="shared" ref="O23:P23" si="23">+O18-O22</f>
        <v>30552</v>
      </c>
      <c r="P23" s="4">
        <f t="shared" si="23"/>
        <v>31653</v>
      </c>
      <c r="Q23" s="4">
        <f t="shared" ref="Q23" si="24">+Q18-Q22</f>
        <v>30014</v>
      </c>
      <c r="T23" s="11"/>
      <c r="U23" s="11"/>
      <c r="V23" s="4">
        <f t="shared" ref="V23:AC23" si="25">+V18-V22</f>
        <v>27188</v>
      </c>
      <c r="W23" s="4">
        <f t="shared" si="25"/>
        <v>29331</v>
      </c>
      <c r="X23" s="4">
        <f t="shared" si="25"/>
        <v>35058</v>
      </c>
      <c r="Y23" s="4">
        <f t="shared" si="25"/>
        <v>42959</v>
      </c>
      <c r="Z23" s="4">
        <f t="shared" si="25"/>
        <v>52959</v>
      </c>
      <c r="AA23" s="4">
        <f t="shared" si="25"/>
        <v>69916</v>
      </c>
      <c r="AB23" s="4">
        <f t="shared" si="25"/>
        <v>83383</v>
      </c>
      <c r="AC23" s="4">
        <f t="shared" si="25"/>
        <v>88523</v>
      </c>
      <c r="AD23" s="4">
        <f t="shared" ref="AD23" si="26">+AD18-AD22</f>
        <v>109433</v>
      </c>
    </row>
    <row r="24" spans="2:30" x14ac:dyDescent="0.2">
      <c r="B24" t="s">
        <v>17</v>
      </c>
      <c r="C24" s="3">
        <v>286</v>
      </c>
      <c r="D24" s="3">
        <v>268</v>
      </c>
      <c r="E24" s="3">
        <v>-174</v>
      </c>
      <c r="F24" s="3">
        <v>-47</v>
      </c>
      <c r="G24" s="3">
        <v>54</v>
      </c>
      <c r="H24" s="3">
        <v>-60</v>
      </c>
      <c r="I24" s="3">
        <v>321</v>
      </c>
      <c r="J24" s="3">
        <v>473</v>
      </c>
      <c r="K24" s="3">
        <v>389</v>
      </c>
      <c r="L24" s="3">
        <v>-506</v>
      </c>
      <c r="M24" s="3">
        <v>-854</v>
      </c>
      <c r="N24" s="3">
        <f t="shared" ref="N24:N26" si="27">+AD24-SUM(K24:M24)</f>
        <v>-675</v>
      </c>
      <c r="O24" s="3">
        <v>-283</v>
      </c>
      <c r="P24" s="3">
        <v>-2288</v>
      </c>
      <c r="Q24" s="3">
        <v>-623</v>
      </c>
      <c r="V24" s="1">
        <v>-439</v>
      </c>
      <c r="W24" s="1">
        <v>876</v>
      </c>
      <c r="X24" s="1">
        <v>1416</v>
      </c>
      <c r="Y24" s="1">
        <v>729</v>
      </c>
      <c r="Z24" s="1">
        <v>77</v>
      </c>
      <c r="AA24" s="1">
        <v>1186</v>
      </c>
      <c r="AB24" s="1">
        <f>+SUM(C24:F24)</f>
        <v>333</v>
      </c>
      <c r="AC24" s="1">
        <f>+SUM(G24:J24)</f>
        <v>788</v>
      </c>
      <c r="AD24" s="1">
        <v>-1646</v>
      </c>
    </row>
    <row r="25" spans="2:30" x14ac:dyDescent="0.2">
      <c r="B25" t="s">
        <v>15</v>
      </c>
      <c r="C25" s="3">
        <f t="shared" ref="C25:N25" si="28">+C23+C24</f>
        <v>20524</v>
      </c>
      <c r="D25" s="3">
        <f t="shared" si="28"/>
        <v>22515</v>
      </c>
      <c r="E25" s="3">
        <f t="shared" si="28"/>
        <v>20190</v>
      </c>
      <c r="F25" s="3">
        <f t="shared" si="28"/>
        <v>20487</v>
      </c>
      <c r="G25" s="3">
        <f t="shared" si="28"/>
        <v>21572</v>
      </c>
      <c r="H25" s="3">
        <f t="shared" si="28"/>
        <v>20339</v>
      </c>
      <c r="I25" s="3">
        <f t="shared" si="28"/>
        <v>22673</v>
      </c>
      <c r="J25" s="3">
        <f t="shared" si="28"/>
        <v>24727</v>
      </c>
      <c r="K25" s="3">
        <f t="shared" si="28"/>
        <v>27284</v>
      </c>
      <c r="L25" s="3">
        <f t="shared" si="28"/>
        <v>26526</v>
      </c>
      <c r="M25" s="3">
        <f t="shared" si="28"/>
        <v>26727</v>
      </c>
      <c r="N25" s="3">
        <f t="shared" si="28"/>
        <v>27250</v>
      </c>
      <c r="O25" s="3">
        <f t="shared" ref="O25:P25" si="29">+O23+O24</f>
        <v>30269</v>
      </c>
      <c r="P25" s="3">
        <f t="shared" si="29"/>
        <v>29365</v>
      </c>
      <c r="Q25" s="3">
        <f t="shared" ref="Q25" si="30">+Q23+Q24</f>
        <v>29391</v>
      </c>
      <c r="V25" s="3">
        <f t="shared" ref="V25:AC25" si="31">+V23+V24</f>
        <v>26749</v>
      </c>
      <c r="W25" s="3">
        <f t="shared" si="31"/>
        <v>30207</v>
      </c>
      <c r="X25" s="3">
        <f t="shared" si="31"/>
        <v>36474</v>
      </c>
      <c r="Y25" s="3">
        <f t="shared" si="31"/>
        <v>43688</v>
      </c>
      <c r="Z25" s="3">
        <f t="shared" si="31"/>
        <v>53036</v>
      </c>
      <c r="AA25" s="3">
        <f t="shared" si="31"/>
        <v>71102</v>
      </c>
      <c r="AB25" s="3">
        <f t="shared" si="31"/>
        <v>83716</v>
      </c>
      <c r="AC25" s="3">
        <f t="shared" si="31"/>
        <v>89311</v>
      </c>
      <c r="AD25" s="3">
        <f t="shared" ref="AD25" si="32">+AD23+AD24</f>
        <v>107787</v>
      </c>
    </row>
    <row r="26" spans="2:30" x14ac:dyDescent="0.2">
      <c r="B26" t="s">
        <v>16</v>
      </c>
      <c r="C26" s="3">
        <v>19</v>
      </c>
      <c r="D26" s="3">
        <v>3750</v>
      </c>
      <c r="E26" s="3">
        <v>3462</v>
      </c>
      <c r="F26" s="3">
        <v>3747</v>
      </c>
      <c r="G26" s="3">
        <v>4016</v>
      </c>
      <c r="H26" s="3">
        <v>3914</v>
      </c>
      <c r="I26" s="3">
        <v>4374</v>
      </c>
      <c r="J26" s="3">
        <v>4646</v>
      </c>
      <c r="K26" s="3">
        <v>4993</v>
      </c>
      <c r="L26" s="3">
        <v>4656</v>
      </c>
      <c r="M26" s="3">
        <v>4788</v>
      </c>
      <c r="N26" s="3">
        <f t="shared" si="27"/>
        <v>5214</v>
      </c>
      <c r="O26" s="3">
        <v>5602</v>
      </c>
      <c r="P26" s="3">
        <v>5257</v>
      </c>
      <c r="Q26" s="3">
        <v>5553</v>
      </c>
      <c r="V26" s="1">
        <v>5100</v>
      </c>
      <c r="W26" s="1">
        <v>4412</v>
      </c>
      <c r="X26" s="1">
        <v>19903</v>
      </c>
      <c r="Y26" s="1">
        <v>4448</v>
      </c>
      <c r="Z26" s="1">
        <v>8755</v>
      </c>
      <c r="AA26" s="1">
        <v>9831</v>
      </c>
      <c r="AB26" s="1">
        <f>+SUM(C26:F26)</f>
        <v>10978</v>
      </c>
      <c r="AC26" s="1">
        <f>+SUM(G26:J26)</f>
        <v>16950</v>
      </c>
      <c r="AD26" s="1">
        <v>19651</v>
      </c>
    </row>
    <row r="27" spans="2:30" s="2" customFormat="1" x14ac:dyDescent="0.2">
      <c r="B27" s="2" t="s">
        <v>18</v>
      </c>
      <c r="C27" s="4">
        <f t="shared" ref="C27:N27" si="33">+C25-C26</f>
        <v>20505</v>
      </c>
      <c r="D27" s="4">
        <f t="shared" si="33"/>
        <v>18765</v>
      </c>
      <c r="E27" s="4">
        <f t="shared" si="33"/>
        <v>16728</v>
      </c>
      <c r="F27" s="4">
        <f t="shared" si="33"/>
        <v>16740</v>
      </c>
      <c r="G27" s="4">
        <f t="shared" si="33"/>
        <v>17556</v>
      </c>
      <c r="H27" s="4">
        <f t="shared" si="33"/>
        <v>16425</v>
      </c>
      <c r="I27" s="4">
        <f t="shared" si="33"/>
        <v>18299</v>
      </c>
      <c r="J27" s="4">
        <f t="shared" si="33"/>
        <v>20081</v>
      </c>
      <c r="K27" s="4">
        <f t="shared" si="33"/>
        <v>22291</v>
      </c>
      <c r="L27" s="4">
        <f t="shared" si="33"/>
        <v>21870</v>
      </c>
      <c r="M27" s="4">
        <f t="shared" si="33"/>
        <v>21939</v>
      </c>
      <c r="N27" s="4">
        <f t="shared" si="33"/>
        <v>22036</v>
      </c>
      <c r="O27" s="4">
        <f t="shared" ref="O27:P27" si="34">+O25-O26</f>
        <v>24667</v>
      </c>
      <c r="P27" s="4">
        <f t="shared" si="34"/>
        <v>24108</v>
      </c>
      <c r="Q27" s="4">
        <f t="shared" ref="Q27" si="35">+Q25-Q26</f>
        <v>23838</v>
      </c>
      <c r="T27" s="11"/>
      <c r="U27" s="11"/>
      <c r="V27" s="4">
        <f t="shared" ref="V27:AC27" si="36">+V25-V26</f>
        <v>21649</v>
      </c>
      <c r="W27" s="4">
        <f t="shared" si="36"/>
        <v>25795</v>
      </c>
      <c r="X27" s="4">
        <f t="shared" si="36"/>
        <v>16571</v>
      </c>
      <c r="Y27" s="4">
        <f t="shared" si="36"/>
        <v>39240</v>
      </c>
      <c r="Z27" s="4">
        <f t="shared" si="36"/>
        <v>44281</v>
      </c>
      <c r="AA27" s="4">
        <f t="shared" si="36"/>
        <v>61271</v>
      </c>
      <c r="AB27" s="4">
        <f t="shared" si="36"/>
        <v>72738</v>
      </c>
      <c r="AC27" s="4">
        <f t="shared" si="36"/>
        <v>72361</v>
      </c>
      <c r="AD27" s="4">
        <f t="shared" ref="AD27" si="37">+AD25-AD26</f>
        <v>88136</v>
      </c>
    </row>
    <row r="28" spans="2:30" x14ac:dyDescent="0.2">
      <c r="B28" t="s">
        <v>19</v>
      </c>
      <c r="C28" s="7">
        <f t="shared" ref="C28:N28" si="38">+C27/C29</f>
        <v>2.7097925201532971</v>
      </c>
      <c r="D28" s="7">
        <f t="shared" si="38"/>
        <v>2.4837855724685638</v>
      </c>
      <c r="E28" s="7">
        <f t="shared" si="38"/>
        <v>2.2203344836740113</v>
      </c>
      <c r="F28" s="7">
        <f t="shared" si="38"/>
        <v>2.2302158273381294</v>
      </c>
      <c r="G28" s="7">
        <f t="shared" si="38"/>
        <v>2.3454909819639278</v>
      </c>
      <c r="H28" s="7">
        <f t="shared" si="38"/>
        <v>2.1979124849458049</v>
      </c>
      <c r="I28" s="7">
        <f t="shared" si="38"/>
        <v>2.4516345123258305</v>
      </c>
      <c r="J28" s="7">
        <f t="shared" si="38"/>
        <v>2.6892995848399623</v>
      </c>
      <c r="K28" s="7">
        <f t="shared" si="38"/>
        <v>2.9872688287322435</v>
      </c>
      <c r="L28" s="7">
        <f t="shared" si="38"/>
        <v>2.9284949116229244</v>
      </c>
      <c r="M28" s="7">
        <f t="shared" si="38"/>
        <v>2.936161670235546</v>
      </c>
      <c r="N28" s="7">
        <f t="shared" si="38"/>
        <v>2.9483542948889485</v>
      </c>
      <c r="O28" s="7">
        <f t="shared" ref="O28:P28" si="39">+O27/O29</f>
        <v>3.3021419009370816</v>
      </c>
      <c r="P28" s="7">
        <f t="shared" si="39"/>
        <v>3.2281735404392071</v>
      </c>
      <c r="Q28" s="7">
        <f t="shared" ref="Q28" si="40">+Q27/Q29</f>
        <v>3.195014073180539</v>
      </c>
      <c r="V28" s="7">
        <f t="shared" ref="V28:AC28" si="41">+V27/V29</f>
        <v>2.7017346811431424</v>
      </c>
      <c r="W28" s="7">
        <f t="shared" si="41"/>
        <v>3.2935393258426968</v>
      </c>
      <c r="X28" s="7">
        <f t="shared" si="41"/>
        <v>2.126122658455222</v>
      </c>
      <c r="Y28" s="7">
        <f t="shared" si="41"/>
        <v>5.0612666064749128</v>
      </c>
      <c r="Z28" s="7">
        <f t="shared" si="41"/>
        <v>5.7635038396459715</v>
      </c>
      <c r="AA28" s="7">
        <f t="shared" si="41"/>
        <v>8.0534963196635125</v>
      </c>
      <c r="AB28" s="7">
        <f t="shared" si="41"/>
        <v>9.6463099263974534</v>
      </c>
      <c r="AC28" s="7">
        <f t="shared" si="41"/>
        <v>9.6839640001338285</v>
      </c>
      <c r="AD28" s="7">
        <f t="shared" ref="AD28" si="42">+AD27/AD29</f>
        <v>11.800240996117285</v>
      </c>
    </row>
    <row r="29" spans="2:30" x14ac:dyDescent="0.2">
      <c r="B29" t="s">
        <v>1</v>
      </c>
      <c r="C29" s="3">
        <v>7567</v>
      </c>
      <c r="D29" s="3">
        <v>7555</v>
      </c>
      <c r="E29" s="3">
        <v>7534</v>
      </c>
      <c r="F29" s="3">
        <v>7506</v>
      </c>
      <c r="G29" s="3">
        <v>7485</v>
      </c>
      <c r="H29" s="3">
        <v>7473</v>
      </c>
      <c r="I29" s="3">
        <v>7464</v>
      </c>
      <c r="J29" s="3">
        <v>7467</v>
      </c>
      <c r="K29" s="3">
        <v>7462</v>
      </c>
      <c r="L29" s="3">
        <v>7468</v>
      </c>
      <c r="M29" s="3">
        <v>7472</v>
      </c>
      <c r="N29" s="3">
        <v>7474</v>
      </c>
      <c r="O29" s="3">
        <v>7470</v>
      </c>
      <c r="P29" s="3">
        <v>7468</v>
      </c>
      <c r="Q29" s="3">
        <v>7461</v>
      </c>
      <c r="V29" s="3">
        <v>8013</v>
      </c>
      <c r="W29" s="3">
        <v>7832</v>
      </c>
      <c r="X29" s="3">
        <v>7794</v>
      </c>
      <c r="Y29" s="3">
        <v>7753</v>
      </c>
      <c r="Z29" s="3">
        <v>7683</v>
      </c>
      <c r="AA29" s="3">
        <v>7608</v>
      </c>
      <c r="AB29" s="3">
        <f>+AVERAGE(C29:F29)</f>
        <v>7540.5</v>
      </c>
      <c r="AC29" s="3">
        <f>+AVERAGE(G29:J29)</f>
        <v>7472.25</v>
      </c>
      <c r="AD29" s="3">
        <v>7469</v>
      </c>
    </row>
    <row r="30" spans="2:30" x14ac:dyDescent="0.2">
      <c r="V30" s="3"/>
      <c r="W30" s="3"/>
      <c r="X30" s="3"/>
      <c r="Y30" s="3"/>
      <c r="Z30" s="3"/>
      <c r="AA30" s="3"/>
      <c r="AB30" s="3"/>
      <c r="AC30" s="3"/>
      <c r="AD30" s="3"/>
    </row>
    <row r="31" spans="2:30" s="5" customFormat="1" x14ac:dyDescent="0.2">
      <c r="B31" s="5" t="s">
        <v>22</v>
      </c>
      <c r="C31" s="6">
        <f t="shared" ref="C31:M31" si="43">+C18/C16</f>
        <v>0.6988768012004325</v>
      </c>
      <c r="D31" s="6">
        <f t="shared" si="43"/>
        <v>0.67213114754098358</v>
      </c>
      <c r="E31" s="6">
        <f t="shared" si="43"/>
        <v>0.68365072933549431</v>
      </c>
      <c r="F31" s="6">
        <f t="shared" si="43"/>
        <v>0.68323532247180174</v>
      </c>
      <c r="G31" s="6">
        <f t="shared" si="43"/>
        <v>0.69171222217788597</v>
      </c>
      <c r="H31" s="6">
        <f t="shared" si="43"/>
        <v>0.66845507801391546</v>
      </c>
      <c r="I31" s="6">
        <f t="shared" si="43"/>
        <v>0.69487485101311086</v>
      </c>
      <c r="J31" s="6">
        <f t="shared" si="43"/>
        <v>0.70109807969531401</v>
      </c>
      <c r="K31" s="6">
        <f t="shared" si="43"/>
        <v>0.71155581506449384</v>
      </c>
      <c r="L31" s="6">
        <f t="shared" si="43"/>
        <v>0.68360206385037081</v>
      </c>
      <c r="M31" s="6">
        <f t="shared" si="43"/>
        <v>0.70084710142584628</v>
      </c>
      <c r="N31" s="6">
        <f t="shared" ref="N31" si="44">+N18/N16</f>
        <v>0.69589197707293715</v>
      </c>
      <c r="O31" s="6">
        <f t="shared" ref="O31:P31" si="45">+O18/O16</f>
        <v>0.69354273080734929</v>
      </c>
      <c r="P31" s="6">
        <f t="shared" si="45"/>
        <v>0.68693991268382348</v>
      </c>
      <c r="Q31" s="6">
        <f t="shared" ref="Q31" si="46">+Q18/Q16</f>
        <v>0.6871663859789342</v>
      </c>
      <c r="V31" s="6">
        <f t="shared" ref="V31:AC31" si="47">+V18/V16</f>
        <v>0.64038879259275516</v>
      </c>
      <c r="W31" s="6">
        <f t="shared" si="47"/>
        <v>0.64522475691460168</v>
      </c>
      <c r="X31" s="6">
        <f t="shared" si="47"/>
        <v>0.65247372236317502</v>
      </c>
      <c r="Y31" s="6">
        <f t="shared" si="47"/>
        <v>0.65901957200638894</v>
      </c>
      <c r="Z31" s="6">
        <f t="shared" si="47"/>
        <v>0.67781001992797962</v>
      </c>
      <c r="AA31" s="6">
        <f t="shared" si="47"/>
        <v>0.68925800771024703</v>
      </c>
      <c r="AB31" s="6">
        <f t="shared" si="47"/>
        <v>0.68401674484289099</v>
      </c>
      <c r="AC31" s="6">
        <f t="shared" si="47"/>
        <v>0.68920085883491022</v>
      </c>
      <c r="AD31" s="6">
        <f t="shared" ref="AD31" si="48">+AD18/AD16</f>
        <v>0.69764443827971379</v>
      </c>
    </row>
    <row r="32" spans="2:30" s="5" customFormat="1" x14ac:dyDescent="0.2">
      <c r="B32" s="5" t="s">
        <v>23</v>
      </c>
      <c r="C32" s="6">
        <f t="shared" ref="C32:M32" si="49">+C23/C16</f>
        <v>0.44658737339188381</v>
      </c>
      <c r="D32" s="6">
        <f t="shared" si="49"/>
        <v>0.43007655428394681</v>
      </c>
      <c r="E32" s="6">
        <f t="shared" si="49"/>
        <v>0.41256077795786061</v>
      </c>
      <c r="F32" s="6">
        <f t="shared" si="49"/>
        <v>0.3959124650535043</v>
      </c>
      <c r="G32" s="6">
        <f t="shared" si="49"/>
        <v>0.42931247755476637</v>
      </c>
      <c r="H32" s="6">
        <f t="shared" si="49"/>
        <v>0.3867328947617874</v>
      </c>
      <c r="I32" s="6">
        <f t="shared" si="49"/>
        <v>0.42287681858599618</v>
      </c>
      <c r="J32" s="6">
        <f t="shared" si="49"/>
        <v>0.4316503230169606</v>
      </c>
      <c r="K32" s="6">
        <f t="shared" si="49"/>
        <v>0.47587451563246458</v>
      </c>
      <c r="L32" s="6">
        <f t="shared" si="49"/>
        <v>0.43585940019348596</v>
      </c>
      <c r="M32" s="6">
        <f t="shared" si="49"/>
        <v>0.44587603866921011</v>
      </c>
      <c r="N32" s="6">
        <f t="shared" ref="N32" si="50">+N23/N16</f>
        <v>0.43142737960974553</v>
      </c>
      <c r="O32" s="6">
        <f t="shared" ref="O32:P32" si="51">+O23/O16</f>
        <v>0.46583822520393381</v>
      </c>
      <c r="P32" s="6">
        <f t="shared" si="51"/>
        <v>0.45457548253676472</v>
      </c>
      <c r="Q32" s="6">
        <f t="shared" ref="Q32" si="52">+Q23/Q16</f>
        <v>0.42836753917734705</v>
      </c>
      <c r="V32" s="6">
        <f t="shared" ref="V32:AC32" si="53">+V23/V16</f>
        <v>0.29826447550299495</v>
      </c>
      <c r="W32" s="6">
        <f t="shared" si="53"/>
        <v>0.30372472067183731</v>
      </c>
      <c r="X32" s="6">
        <f t="shared" si="53"/>
        <v>0.31766944545125048</v>
      </c>
      <c r="Y32" s="6">
        <f t="shared" si="53"/>
        <v>0.3413698020549415</v>
      </c>
      <c r="Z32" s="6">
        <f t="shared" si="53"/>
        <v>0.37030381428521486</v>
      </c>
      <c r="AA32" s="6">
        <f t="shared" si="53"/>
        <v>0.41594878872971303</v>
      </c>
      <c r="AB32" s="6">
        <f t="shared" si="53"/>
        <v>0.4205527815604983</v>
      </c>
      <c r="AC32" s="6">
        <f t="shared" si="53"/>
        <v>0.41772880636104098</v>
      </c>
      <c r="AD32" s="6">
        <f t="shared" ref="AD32" si="54">+AD23/AD16</f>
        <v>0.44644299573273716</v>
      </c>
    </row>
    <row r="33" spans="2:30" s="5" customFormat="1" x14ac:dyDescent="0.2">
      <c r="B33" s="5" t="s">
        <v>24</v>
      </c>
      <c r="C33" s="6">
        <f t="shared" ref="C33:M33" si="55">+C27/C16</f>
        <v>0.45247920206545006</v>
      </c>
      <c r="D33" s="6">
        <f t="shared" si="55"/>
        <v>0.36276291370244357</v>
      </c>
      <c r="E33" s="6">
        <f t="shared" si="55"/>
        <v>0.33889789303079415</v>
      </c>
      <c r="F33" s="6">
        <f t="shared" si="55"/>
        <v>0.32276101417140651</v>
      </c>
      <c r="G33" s="6">
        <f t="shared" si="55"/>
        <v>0.3502653525398029</v>
      </c>
      <c r="H33" s="6">
        <f t="shared" si="55"/>
        <v>0.31139211708722769</v>
      </c>
      <c r="I33" s="6">
        <f t="shared" si="55"/>
        <v>0.34619823296819718</v>
      </c>
      <c r="J33" s="6">
        <f t="shared" si="55"/>
        <v>0.35738311769207498</v>
      </c>
      <c r="K33" s="6">
        <f t="shared" si="55"/>
        <v>0.39441230072367606</v>
      </c>
      <c r="L33" s="6">
        <f t="shared" si="55"/>
        <v>0.35262818445662691</v>
      </c>
      <c r="M33" s="6">
        <f t="shared" si="55"/>
        <v>0.35466714087102719</v>
      </c>
      <c r="N33" s="6">
        <f t="shared" ref="N33" si="56">+N27/N16</f>
        <v>0.34044525468506187</v>
      </c>
      <c r="O33" s="6">
        <f t="shared" ref="O33:P33" si="57">+O27/O16</f>
        <v>0.37610734161774795</v>
      </c>
      <c r="P33" s="6">
        <f t="shared" si="57"/>
        <v>0.34622012867647056</v>
      </c>
      <c r="Q33" s="6">
        <f t="shared" ref="Q33" si="58">+Q27/Q16</f>
        <v>0.34022207632803358</v>
      </c>
      <c r="V33" s="6">
        <f t="shared" ref="V33:AC33" si="59">+V27/V16</f>
        <v>0.23749917721657854</v>
      </c>
      <c r="W33" s="6">
        <f t="shared" si="59"/>
        <v>0.26710917356142111</v>
      </c>
      <c r="X33" s="6">
        <f t="shared" si="59"/>
        <v>0.15015404131931859</v>
      </c>
      <c r="Y33" s="6">
        <f t="shared" si="59"/>
        <v>0.31181710544090652</v>
      </c>
      <c r="Z33" s="6">
        <f t="shared" si="59"/>
        <v>0.30962486452470023</v>
      </c>
      <c r="AA33" s="6">
        <f t="shared" si="59"/>
        <v>0.36451739564989766</v>
      </c>
      <c r="AB33" s="6">
        <f t="shared" si="59"/>
        <v>0.36686336813436221</v>
      </c>
      <c r="AC33" s="6">
        <f t="shared" si="59"/>
        <v>0.34146237878394642</v>
      </c>
      <c r="AD33" s="6">
        <f t="shared" ref="AD33" si="60">+AD27/AD16</f>
        <v>0.35955972944084985</v>
      </c>
    </row>
    <row r="34" spans="2:30" s="5" customFormat="1" x14ac:dyDescent="0.2">
      <c r="B34" s="5" t="s">
        <v>25</v>
      </c>
      <c r="C34" s="6">
        <f t="shared" ref="C34:M34" si="61">+C26/C25</f>
        <v>9.2574546871954783E-4</v>
      </c>
      <c r="D34" s="6">
        <f t="shared" si="61"/>
        <v>0.16655562958027981</v>
      </c>
      <c r="E34" s="6">
        <f t="shared" si="61"/>
        <v>0.17147102526002972</v>
      </c>
      <c r="F34" s="6">
        <f t="shared" si="61"/>
        <v>0.18289647093278666</v>
      </c>
      <c r="G34" s="6">
        <f t="shared" si="61"/>
        <v>0.18616725384758021</v>
      </c>
      <c r="H34" s="6">
        <f t="shared" si="61"/>
        <v>0.19243817296818919</v>
      </c>
      <c r="I34" s="6">
        <f t="shared" si="61"/>
        <v>0.19291668504388479</v>
      </c>
      <c r="J34" s="6">
        <f t="shared" si="61"/>
        <v>0.18789177821814212</v>
      </c>
      <c r="K34" s="6">
        <f t="shared" si="61"/>
        <v>0.18300102624248643</v>
      </c>
      <c r="L34" s="6">
        <f t="shared" si="61"/>
        <v>0.17552589911784663</v>
      </c>
      <c r="M34" s="6">
        <f t="shared" si="61"/>
        <v>0.17914468514984846</v>
      </c>
      <c r="N34" s="6">
        <f t="shared" ref="N34" si="62">+N26/N25</f>
        <v>0.1913394495412844</v>
      </c>
      <c r="O34" s="6">
        <f t="shared" ref="O34:P34" si="63">+O26/O25</f>
        <v>0.18507383791998414</v>
      </c>
      <c r="P34" s="6">
        <f t="shared" si="63"/>
        <v>0.17902264600715137</v>
      </c>
      <c r="Q34" s="6">
        <f t="shared" ref="Q34" si="64">+Q26/Q25</f>
        <v>0.18893538838419924</v>
      </c>
      <c r="V34" s="6">
        <f t="shared" ref="V34:AC34" si="65">+V26/V25</f>
        <v>0.19066133313394892</v>
      </c>
      <c r="W34" s="6">
        <f t="shared" si="65"/>
        <v>0.14605886052901645</v>
      </c>
      <c r="X34" s="6">
        <f t="shared" si="65"/>
        <v>0.5456763722103416</v>
      </c>
      <c r="Y34" s="6">
        <f t="shared" si="65"/>
        <v>0.10181285478850027</v>
      </c>
      <c r="Z34" s="6">
        <f t="shared" si="65"/>
        <v>0.16507655177615205</v>
      </c>
      <c r="AA34" s="6">
        <f t="shared" si="65"/>
        <v>0.13826615285083402</v>
      </c>
      <c r="AB34" s="6">
        <f t="shared" si="65"/>
        <v>0.13113383343685794</v>
      </c>
      <c r="AC34" s="6">
        <f t="shared" si="65"/>
        <v>0.18978625253328257</v>
      </c>
      <c r="AD34" s="6">
        <f t="shared" ref="AD34" si="66">+AD26/AD25</f>
        <v>0.18231326597827197</v>
      </c>
    </row>
    <row r="35" spans="2:30" x14ac:dyDescent="0.2">
      <c r="AD35" s="1"/>
    </row>
    <row r="36" spans="2:30" s="8" customFormat="1" x14ac:dyDescent="0.2">
      <c r="B36" s="8" t="s">
        <v>21</v>
      </c>
      <c r="C36" s="9"/>
      <c r="D36" s="9"/>
      <c r="E36" s="9"/>
      <c r="F36" s="9"/>
      <c r="G36" s="9">
        <f>+G16/C16-1</f>
        <v>0.1060308493501334</v>
      </c>
      <c r="H36" s="9">
        <f t="shared" ref="H36:N36" si="67">+H16/D16-1</f>
        <v>1.9699195793380753E-2</v>
      </c>
      <c r="I36" s="9">
        <f t="shared" si="67"/>
        <v>7.0846839546191198E-2</v>
      </c>
      <c r="J36" s="9">
        <f t="shared" si="67"/>
        <v>8.3370288248336921E-2</v>
      </c>
      <c r="K36" s="9">
        <f t="shared" si="67"/>
        <v>0.12758868361198683</v>
      </c>
      <c r="L36" s="9">
        <f t="shared" si="67"/>
        <v>0.17580146738203117</v>
      </c>
      <c r="M36" s="9">
        <f t="shared" si="67"/>
        <v>0.17028964943148495</v>
      </c>
      <c r="N36" s="9">
        <f t="shared" si="67"/>
        <v>0.15195144957198026</v>
      </c>
      <c r="O36" s="9">
        <f>+O16/J16-1</f>
        <v>0.1672213422556017</v>
      </c>
      <c r="P36" s="9">
        <f>+P16/K16-1</f>
        <v>0.23205407222605579</v>
      </c>
      <c r="Q36" s="9">
        <f>+Q16/L16-1</f>
        <v>0.12973234440503068</v>
      </c>
      <c r="V36" s="8" t="e">
        <f t="shared" ref="V36:AD36" si="68">+V16/U16-1</f>
        <v>#DIV/0!</v>
      </c>
      <c r="W36" s="8">
        <f t="shared" si="68"/>
        <v>5.9426903920837271E-2</v>
      </c>
      <c r="X36" s="8">
        <f t="shared" si="68"/>
        <v>0.14278613662486661</v>
      </c>
      <c r="Y36" s="8">
        <f t="shared" si="68"/>
        <v>0.14029539688292858</v>
      </c>
      <c r="Z36" s="8">
        <f>+Z16/Y16-1</f>
        <v>0.13645574247276371</v>
      </c>
      <c r="AA36" s="8">
        <f>+AA16/Z16-1</f>
        <v>0.17531727441177503</v>
      </c>
      <c r="AB36" s="8">
        <f t="shared" si="68"/>
        <v>0.17956070629670173</v>
      </c>
      <c r="AC36" s="8">
        <f t="shared" si="68"/>
        <v>6.8820295556564215E-2</v>
      </c>
      <c r="AD36" s="8">
        <f t="shared" si="68"/>
        <v>0.1566996201307127</v>
      </c>
    </row>
    <row r="37" spans="2:30" s="5" customFormat="1" x14ac:dyDescent="0.2">
      <c r="B37" s="1" t="s">
        <v>67</v>
      </c>
      <c r="C37" s="6"/>
      <c r="D37" s="6"/>
      <c r="E37" s="6"/>
      <c r="F37" s="6"/>
      <c r="G37" s="6">
        <f t="shared" ref="G37:O37" si="69">+G3/C3-1</f>
        <v>0.22017252820172528</v>
      </c>
      <c r="H37" s="6">
        <f t="shared" si="69"/>
        <v>0.19606885606153091</v>
      </c>
      <c r="I37" s="6">
        <f t="shared" si="69"/>
        <v>0.17531400399107877</v>
      </c>
      <c r="J37" s="6">
        <f t="shared" si="69"/>
        <v>0.16452810180275712</v>
      </c>
      <c r="K37" s="6">
        <f t="shared" si="69"/>
        <v>-1.7728953665434033E-2</v>
      </c>
      <c r="L37" s="6">
        <f t="shared" si="69"/>
        <v>1.5310809431468009E-4</v>
      </c>
      <c r="M37" s="6">
        <f t="shared" si="69"/>
        <v>0.24004993757802739</v>
      </c>
      <c r="N37" s="6">
        <f t="shared" si="69"/>
        <v>0.60428903155306646</v>
      </c>
      <c r="O37" s="6">
        <f t="shared" si="69"/>
        <v>0.22660834902004212</v>
      </c>
      <c r="P37" s="6">
        <f>+P3/L3-1</f>
        <v>0.20635811603816911</v>
      </c>
      <c r="Q37" s="6">
        <f>+Q3/M3-1</f>
        <v>-2.8592139175257492E-3</v>
      </c>
      <c r="Z37" s="5">
        <f t="shared" ref="Z37:AB37" si="70">+Z3/Y3-1</f>
        <v>0.26843847710134261</v>
      </c>
      <c r="AA37" s="5">
        <f t="shared" si="70"/>
        <v>0.27091036516107203</v>
      </c>
      <c r="AB37" s="5">
        <f t="shared" si="70"/>
        <v>0.28068607503470311</v>
      </c>
      <c r="AC37" s="5">
        <f t="shared" ref="AC37:AD41" si="71">+AC3/AB3-1</f>
        <v>0.18737936154417234</v>
      </c>
      <c r="AD37" s="5">
        <f t="shared" si="71"/>
        <v>0.22203326247342758</v>
      </c>
    </row>
    <row r="38" spans="2:30" s="5" customFormat="1" x14ac:dyDescent="0.2">
      <c r="B38" s="1" t="s">
        <v>68</v>
      </c>
      <c r="C38" s="6"/>
      <c r="D38" s="6"/>
      <c r="E38" s="6"/>
      <c r="F38" s="6"/>
      <c r="G38" s="6">
        <f t="shared" ref="G38:O38" si="72">+G4/C4-1</f>
        <v>6.8467801628423475E-2</v>
      </c>
      <c r="H38" s="6">
        <f t="shared" si="72"/>
        <v>5.2084259176962133E-2</v>
      </c>
      <c r="I38" s="6">
        <f t="shared" si="72"/>
        <v>0.11680401289860276</v>
      </c>
      <c r="J38" s="6">
        <f t="shared" si="72"/>
        <v>0.10623989103600917</v>
      </c>
      <c r="K38" s="6">
        <f t="shared" si="72"/>
        <v>0.56252164877034994</v>
      </c>
      <c r="L38" s="6">
        <f t="shared" si="72"/>
        <v>0.54777392920503498</v>
      </c>
      <c r="M38" s="6">
        <f t="shared" si="72"/>
        <v>0.11573628488931664</v>
      </c>
      <c r="N38" s="6">
        <f t="shared" si="72"/>
        <v>-0.64609465178914971</v>
      </c>
      <c r="O38" s="6">
        <f t="shared" si="72"/>
        <v>0.13328530259366</v>
      </c>
      <c r="P38" s="6">
        <f>+P4/L4-1</f>
        <v>0.15261175700016372</v>
      </c>
      <c r="Q38" s="6">
        <f>+Q4/M4-1</f>
        <v>0.57307166990151681</v>
      </c>
      <c r="Z38" s="5">
        <f t="shared" ref="Z38:AB38" si="73">+Z4/Y4-1</f>
        <v>0.11164972142654794</v>
      </c>
      <c r="AA38" s="5">
        <f t="shared" si="73"/>
        <v>0.12900668252350211</v>
      </c>
      <c r="AB38" s="5">
        <f t="shared" si="73"/>
        <v>0.1278591492776886</v>
      </c>
      <c r="AC38" s="5">
        <f t="shared" si="71"/>
        <v>8.623526795641534E-2</v>
      </c>
      <c r="AD38" s="5">
        <f t="shared" si="71"/>
        <v>0.12338273829020641</v>
      </c>
    </row>
    <row r="39" spans="2:30" s="5" customFormat="1" x14ac:dyDescent="0.2">
      <c r="B39" s="1" t="s">
        <v>65</v>
      </c>
      <c r="C39" s="6"/>
      <c r="D39" s="6"/>
      <c r="E39" s="6"/>
      <c r="F39" s="6"/>
      <c r="G39" s="6">
        <f t="shared" ref="G39:O39" si="74">+G5/C5-1</f>
        <v>4.7314222098524539E-3</v>
      </c>
      <c r="H39" s="6">
        <f t="shared" si="74"/>
        <v>-0.1256890848952591</v>
      </c>
      <c r="I39" s="6">
        <f t="shared" si="74"/>
        <v>-3.5561497326203173E-2</v>
      </c>
      <c r="J39" s="6">
        <f t="shared" si="74"/>
        <v>-0.20281006941540525</v>
      </c>
      <c r="K39" s="6">
        <f t="shared" si="74"/>
        <v>8.5595567867035927E-2</v>
      </c>
      <c r="L39" s="6">
        <f t="shared" si="74"/>
        <v>0.49453551912568305</v>
      </c>
      <c r="M39" s="6">
        <f t="shared" si="74"/>
        <v>0.51122816745217636</v>
      </c>
      <c r="N39" s="6">
        <f t="shared" si="74"/>
        <v>-0.47314309693663448</v>
      </c>
      <c r="O39" s="6">
        <f t="shared" si="74"/>
        <v>0.43429446287318196</v>
      </c>
      <c r="P39" s="6">
        <f>+P5/L5-1</f>
        <v>-7.4532414568977634E-2</v>
      </c>
      <c r="Q39" s="6">
        <f>+Q5/M5-1</f>
        <v>4.9532195927352696E-2</v>
      </c>
      <c r="Z39" s="5">
        <f t="shared" ref="Z39:AB39" si="75">+Z5/Y5-1</f>
        <v>1.6599332513613119E-2</v>
      </c>
      <c r="AA39" s="5">
        <f t="shared" si="75"/>
        <v>0.32786177105831538</v>
      </c>
      <c r="AB39" s="5">
        <f t="shared" si="75"/>
        <v>0.60910865322055963</v>
      </c>
      <c r="AC39" s="5">
        <f t="shared" si="71"/>
        <v>-0.13039786511402229</v>
      </c>
      <c r="AD39" s="5">
        <f t="shared" si="71"/>
        <v>-1.8598595806018636E-4</v>
      </c>
    </row>
    <row r="40" spans="2:30" s="5" customFormat="1" x14ac:dyDescent="0.2">
      <c r="B40" s="1" t="s">
        <v>69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f>+O6/K6-1</f>
        <v>-2.5345622119815614E-3</v>
      </c>
      <c r="P40" s="6">
        <f>+P6/L6-1</f>
        <v>3.4150813660325463E-2</v>
      </c>
      <c r="Q40" s="6">
        <f>+Q6/M6-1</f>
        <v>-0.30106257378984647</v>
      </c>
      <c r="Z40" s="5">
        <f t="shared" ref="Z40:AB40" si="76">+Z6/Y6-1</f>
        <v>9.3111056631527411E-2</v>
      </c>
      <c r="AA40" s="5">
        <f t="shared" si="76"/>
        <v>4.184982506503987E-2</v>
      </c>
      <c r="AB40" s="5">
        <f t="shared" si="76"/>
        <v>-0.30124424161536145</v>
      </c>
      <c r="AC40" s="5">
        <f t="shared" si="71"/>
        <v>-4.7073321010474456E-2</v>
      </c>
      <c r="AD40" s="5">
        <f t="shared" si="71"/>
        <v>0.50290960817276598</v>
      </c>
    </row>
    <row r="41" spans="2:30" s="5" customFormat="1" x14ac:dyDescent="0.2">
      <c r="B41" s="1" t="s">
        <v>66</v>
      </c>
      <c r="C41" s="6"/>
      <c r="D41" s="6"/>
      <c r="E41" s="6"/>
      <c r="F41" s="6"/>
      <c r="G41" s="6">
        <f t="shared" ref="G41:O41" si="77">+G7/C7-1</f>
        <v>0.16804846938775508</v>
      </c>
      <c r="H41" s="6">
        <f t="shared" si="77"/>
        <v>9.7706032285471478E-2</v>
      </c>
      <c r="I41" s="6">
        <f t="shared" si="77"/>
        <v>6.4591213267384262E-2</v>
      </c>
      <c r="J41" s="6">
        <f t="shared" si="77"/>
        <v>7.4851148284661218E-2</v>
      </c>
      <c r="K41" s="6">
        <f t="shared" si="77"/>
        <v>6.8250068250068185E-2</v>
      </c>
      <c r="L41" s="6">
        <f t="shared" si="77"/>
        <v>8.2301341589267274E-2</v>
      </c>
      <c r="M41" s="6">
        <f t="shared" si="77"/>
        <v>9.6747745285597153E-2</v>
      </c>
      <c r="N41" s="6">
        <f>+N7/J7-1</f>
        <v>0.12134001582695864</v>
      </c>
      <c r="O41" s="6">
        <f>+O7/K7-1</f>
        <v>9.685663174035275E-2</v>
      </c>
      <c r="P41" s="6">
        <f>+P7/L7-1</f>
        <v>9.3444576877234731E-2</v>
      </c>
      <c r="Q41" s="6">
        <f>+Q7/M7-1</f>
        <v>7.4258659357089529E-2</v>
      </c>
      <c r="Z41" s="5">
        <f t="shared" ref="Z41:AB41" si="78">+Z7/Y7-1</f>
        <v>0.19588392063962101</v>
      </c>
      <c r="AA41" s="5">
        <f t="shared" si="78"/>
        <v>0.27386405843753869</v>
      </c>
      <c r="AB41" s="5">
        <f t="shared" si="78"/>
        <v>0.32481290698804544</v>
      </c>
      <c r="AC41" s="5">
        <f t="shared" si="71"/>
        <v>9.9625852835448558E-2</v>
      </c>
      <c r="AD41" s="5">
        <f t="shared" si="71"/>
        <v>9.2267662952832064E-2</v>
      </c>
    </row>
    <row r="42" spans="2:30" x14ac:dyDescent="0.2">
      <c r="B42" s="1"/>
    </row>
    <row r="43" spans="2:30" x14ac:dyDescent="0.2">
      <c r="B43" t="s">
        <v>26</v>
      </c>
      <c r="J43" s="3">
        <f t="shared" ref="J43:P43" si="79">+J44-J54</f>
        <v>73904</v>
      </c>
      <c r="K43" s="3">
        <f t="shared" si="79"/>
        <v>83872</v>
      </c>
      <c r="L43" s="3">
        <f t="shared" si="79"/>
        <v>20165</v>
      </c>
      <c r="M43" s="3">
        <f t="shared" si="79"/>
        <v>29386</v>
      </c>
      <c r="N43" s="3">
        <f t="shared" si="79"/>
        <v>38513</v>
      </c>
      <c r="O43" s="3">
        <f t="shared" si="79"/>
        <v>49089</v>
      </c>
      <c r="P43" s="3">
        <f t="shared" si="79"/>
        <v>42166</v>
      </c>
      <c r="Q43" s="3">
        <f t="shared" ref="Q43" si="80">+Q44-Q54</f>
        <v>52772</v>
      </c>
    </row>
    <row r="44" spans="2:30" x14ac:dyDescent="0.2">
      <c r="B44" t="s">
        <v>3</v>
      </c>
      <c r="J44" s="3">
        <f>34704+76558+9879</f>
        <v>121141</v>
      </c>
      <c r="K44" s="3">
        <f>80452+63499+11423</f>
        <v>155374</v>
      </c>
      <c r="L44" s="3">
        <f>17305+63712+13367</f>
        <v>94384</v>
      </c>
      <c r="M44" s="3">
        <f>19634+60387+14807</f>
        <v>94828</v>
      </c>
      <c r="N44" s="3">
        <f>18315+57228+14600</f>
        <v>90143</v>
      </c>
      <c r="O44" s="3">
        <f>20840+57588+15778</f>
        <v>94206</v>
      </c>
      <c r="P44" s="3">
        <f>17482+54073+15581</f>
        <v>87136</v>
      </c>
      <c r="Q44" s="3">
        <f>28828+50790+16035</f>
        <v>95653</v>
      </c>
    </row>
    <row r="45" spans="2:30" x14ac:dyDescent="0.2">
      <c r="B45" t="s">
        <v>27</v>
      </c>
      <c r="J45" s="3">
        <v>48688</v>
      </c>
      <c r="K45" s="3">
        <v>36953</v>
      </c>
      <c r="L45" s="3">
        <v>42831</v>
      </c>
      <c r="M45" s="3">
        <v>44029</v>
      </c>
      <c r="N45" s="3">
        <v>56924</v>
      </c>
      <c r="O45" s="3">
        <v>44148</v>
      </c>
      <c r="P45" s="3">
        <v>48188</v>
      </c>
      <c r="Q45" s="3">
        <v>51700</v>
      </c>
    </row>
    <row r="46" spans="2:30" x14ac:dyDescent="0.2">
      <c r="B46" t="s">
        <v>28</v>
      </c>
      <c r="J46" s="3">
        <v>2500</v>
      </c>
      <c r="K46" s="3">
        <v>3000</v>
      </c>
      <c r="L46" s="3">
        <v>1615</v>
      </c>
      <c r="M46" s="3">
        <v>1304</v>
      </c>
      <c r="N46" s="3">
        <v>1246</v>
      </c>
      <c r="O46" s="3">
        <v>1626</v>
      </c>
      <c r="P46" s="3">
        <v>909</v>
      </c>
      <c r="Q46" s="3">
        <v>848</v>
      </c>
    </row>
    <row r="47" spans="2:30" x14ac:dyDescent="0.2">
      <c r="B47" t="s">
        <v>29</v>
      </c>
      <c r="J47" s="3">
        <v>21807</v>
      </c>
      <c r="K47" s="3">
        <v>23682</v>
      </c>
      <c r="L47" s="3">
        <v>21930</v>
      </c>
      <c r="M47" s="3">
        <v>21826</v>
      </c>
      <c r="N47" s="3">
        <v>26021</v>
      </c>
      <c r="O47" s="3">
        <v>25724</v>
      </c>
      <c r="P47" s="3">
        <v>26428</v>
      </c>
      <c r="Q47" s="3">
        <v>24478</v>
      </c>
    </row>
    <row r="48" spans="2:30" x14ac:dyDescent="0.2">
      <c r="B48" t="s">
        <v>30</v>
      </c>
      <c r="J48" s="3">
        <v>95641</v>
      </c>
      <c r="K48" s="3">
        <v>102502</v>
      </c>
      <c r="L48" s="3">
        <v>112308</v>
      </c>
      <c r="M48" s="3">
        <v>121375</v>
      </c>
      <c r="N48" s="3">
        <v>135591</v>
      </c>
      <c r="O48" s="3">
        <v>152863</v>
      </c>
      <c r="P48" s="3">
        <v>166902</v>
      </c>
      <c r="Q48" s="3">
        <v>183939</v>
      </c>
      <c r="R48" s="1"/>
    </row>
    <row r="49" spans="2:29" x14ac:dyDescent="0.2">
      <c r="B49" t="s">
        <v>31</v>
      </c>
      <c r="J49" s="3">
        <v>14346</v>
      </c>
      <c r="K49" s="3">
        <v>15435</v>
      </c>
      <c r="L49" s="3">
        <v>16398</v>
      </c>
      <c r="M49" s="3">
        <v>17371</v>
      </c>
      <c r="N49" s="3">
        <v>18961</v>
      </c>
      <c r="O49" s="3">
        <v>20528</v>
      </c>
      <c r="P49" s="3">
        <v>22816</v>
      </c>
      <c r="Q49" s="3">
        <v>24475</v>
      </c>
    </row>
    <row r="50" spans="2:29" x14ac:dyDescent="0.2">
      <c r="B50" t="s">
        <v>32</v>
      </c>
      <c r="J50" s="3">
        <f>67886+9366</f>
        <v>77252</v>
      </c>
      <c r="K50" s="3">
        <f>67790+8895</f>
        <v>76685</v>
      </c>
      <c r="L50" s="3">
        <f>118931+29896</f>
        <v>148827</v>
      </c>
      <c r="M50" s="3">
        <f>119163+28828</f>
        <v>147991</v>
      </c>
      <c r="N50" s="3">
        <f>119220+27597</f>
        <v>146817</v>
      </c>
      <c r="O50" s="3">
        <f>119374+26751</f>
        <v>146125</v>
      </c>
      <c r="P50" s="3">
        <f>119191+25385</f>
        <v>144576</v>
      </c>
      <c r="Q50" s="3">
        <f>119329+23968</f>
        <v>143297</v>
      </c>
    </row>
    <row r="51" spans="2:29" x14ac:dyDescent="0.2">
      <c r="B51" t="s">
        <v>29</v>
      </c>
      <c r="J51" s="3">
        <v>30601</v>
      </c>
      <c r="K51" s="3">
        <v>32154</v>
      </c>
      <c r="L51" s="3">
        <v>32265</v>
      </c>
      <c r="M51" s="3">
        <v>35551</v>
      </c>
      <c r="N51" s="3">
        <v>36460</v>
      </c>
      <c r="O51" s="3">
        <v>37793</v>
      </c>
      <c r="P51" s="3">
        <v>36943</v>
      </c>
      <c r="Q51" s="3">
        <v>38234</v>
      </c>
    </row>
    <row r="52" spans="2:29" s="2" customFormat="1" x14ac:dyDescent="0.2">
      <c r="B52" s="2" t="s">
        <v>33</v>
      </c>
      <c r="C52" s="4"/>
      <c r="D52" s="4"/>
      <c r="E52" s="4"/>
      <c r="F52" s="4"/>
      <c r="G52" s="4"/>
      <c r="H52" s="4"/>
      <c r="I52" s="4"/>
      <c r="J52" s="4">
        <f t="shared" ref="J52:P52" si="81">+SUM(J44:J51)</f>
        <v>411976</v>
      </c>
      <c r="K52" s="4">
        <f t="shared" si="81"/>
        <v>445785</v>
      </c>
      <c r="L52" s="4">
        <f t="shared" si="81"/>
        <v>470558</v>
      </c>
      <c r="M52" s="4">
        <f t="shared" si="81"/>
        <v>484275</v>
      </c>
      <c r="N52" s="4">
        <f t="shared" si="81"/>
        <v>512163</v>
      </c>
      <c r="O52" s="4">
        <f t="shared" si="81"/>
        <v>523013</v>
      </c>
      <c r="P52" s="4">
        <f t="shared" si="81"/>
        <v>533898</v>
      </c>
      <c r="Q52" s="4">
        <f t="shared" ref="Q52" si="82">+SUM(Q44:Q51)</f>
        <v>562624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2:29" x14ac:dyDescent="0.2">
      <c r="B53" t="s">
        <v>34</v>
      </c>
      <c r="J53" s="3">
        <v>18095</v>
      </c>
      <c r="K53" s="3">
        <v>19307</v>
      </c>
      <c r="L53" s="3">
        <v>17695</v>
      </c>
      <c r="M53" s="3">
        <v>18087</v>
      </c>
      <c r="N53" s="3">
        <v>21996</v>
      </c>
      <c r="O53" s="3">
        <v>22768</v>
      </c>
      <c r="P53" s="3">
        <v>22608</v>
      </c>
      <c r="Q53" s="3">
        <v>26250</v>
      </c>
    </row>
    <row r="54" spans="2:29" x14ac:dyDescent="0.2">
      <c r="B54" t="s">
        <v>4</v>
      </c>
      <c r="J54" s="3">
        <f>5247+41990</f>
        <v>47237</v>
      </c>
      <c r="K54" s="3">
        <f>25808+3748+41946</f>
        <v>71502</v>
      </c>
      <c r="L54" s="3">
        <f>27041+2250+44928</f>
        <v>74219</v>
      </c>
      <c r="M54" s="3">
        <f>20535+2249+42658</f>
        <v>65442</v>
      </c>
      <c r="N54" s="3">
        <f>6693+2249+42688</f>
        <v>51630</v>
      </c>
      <c r="O54" s="3">
        <f>2249+42868</f>
        <v>45117</v>
      </c>
      <c r="P54" s="3">
        <f>5248+39722</f>
        <v>44970</v>
      </c>
      <c r="Q54" s="3">
        <f>2999+39882</f>
        <v>42881</v>
      </c>
    </row>
    <row r="55" spans="2:29" x14ac:dyDescent="0.2">
      <c r="B55" t="s">
        <v>35</v>
      </c>
      <c r="J55" s="3">
        <v>11009</v>
      </c>
      <c r="K55" s="3">
        <v>6990</v>
      </c>
      <c r="L55" s="3">
        <v>8813</v>
      </c>
      <c r="M55" s="3">
        <v>10432</v>
      </c>
      <c r="N55" s="3">
        <v>12564</v>
      </c>
      <c r="O55" s="3">
        <v>8326</v>
      </c>
      <c r="P55" s="3">
        <v>9176</v>
      </c>
      <c r="Q55" s="3">
        <v>10579</v>
      </c>
    </row>
    <row r="56" spans="2:29" x14ac:dyDescent="0.2">
      <c r="B56" t="s">
        <v>16</v>
      </c>
      <c r="J56" s="3">
        <f>4152+25560</f>
        <v>29712</v>
      </c>
      <c r="K56" s="3">
        <f>8035+22983</f>
        <v>31018</v>
      </c>
      <c r="L56" s="3">
        <f>5787+25890</f>
        <v>31677</v>
      </c>
      <c r="M56" s="3">
        <f>7311+26786</f>
        <v>34097</v>
      </c>
      <c r="N56" s="3">
        <f>5017+27931</f>
        <v>32948</v>
      </c>
      <c r="O56" s="3">
        <f>9717+24452</f>
        <v>34169</v>
      </c>
      <c r="P56" s="3">
        <f>6056+24389</f>
        <v>30445</v>
      </c>
      <c r="Q56" s="3">
        <f>6805+25061</f>
        <v>31866</v>
      </c>
    </row>
    <row r="57" spans="2:29" x14ac:dyDescent="0.2">
      <c r="B57" t="s">
        <v>36</v>
      </c>
      <c r="J57" s="3">
        <f>50901+2912</f>
        <v>53813</v>
      </c>
      <c r="K57" s="3">
        <f>46429+2759</f>
        <v>49188</v>
      </c>
      <c r="L57" s="3">
        <f>43068+2966</f>
        <v>46034</v>
      </c>
      <c r="M57" s="3">
        <f>41888+2945</f>
        <v>44833</v>
      </c>
      <c r="N57" s="3">
        <f>57582+2602</f>
        <v>60184</v>
      </c>
      <c r="O57" s="3">
        <f>53026+2663</f>
        <v>55689</v>
      </c>
      <c r="P57" s="3">
        <f>45508+2537</f>
        <v>48045</v>
      </c>
      <c r="Q57" s="3">
        <f>44636+2840</f>
        <v>47476</v>
      </c>
    </row>
    <row r="58" spans="2:29" x14ac:dyDescent="0.2">
      <c r="B58" t="s">
        <v>29</v>
      </c>
      <c r="J58" s="3">
        <v>14745</v>
      </c>
      <c r="K58" s="3">
        <v>14475</v>
      </c>
      <c r="L58" s="3">
        <v>16362</v>
      </c>
      <c r="M58" s="3">
        <v>18023</v>
      </c>
      <c r="N58" s="3">
        <v>19185</v>
      </c>
      <c r="O58" s="3">
        <v>19114</v>
      </c>
      <c r="P58" s="3">
        <v>20286</v>
      </c>
      <c r="Q58" s="3">
        <v>22937</v>
      </c>
    </row>
    <row r="59" spans="2:29" x14ac:dyDescent="0.2">
      <c r="B59" t="s">
        <v>37</v>
      </c>
      <c r="J59" s="3">
        <v>433</v>
      </c>
      <c r="K59" s="3">
        <v>470</v>
      </c>
      <c r="L59" s="3">
        <v>2548</v>
      </c>
      <c r="M59" s="3">
        <v>2469</v>
      </c>
      <c r="N59" s="3">
        <v>2618</v>
      </c>
      <c r="O59" s="3">
        <v>2581</v>
      </c>
      <c r="P59" s="3">
        <v>2513</v>
      </c>
      <c r="Q59" s="3">
        <v>2522</v>
      </c>
    </row>
    <row r="60" spans="2:29" x14ac:dyDescent="0.2">
      <c r="B60" t="s">
        <v>31</v>
      </c>
      <c r="J60" s="3">
        <v>12728</v>
      </c>
      <c r="K60" s="3">
        <v>13487</v>
      </c>
      <c r="L60" s="3">
        <v>14155</v>
      </c>
      <c r="M60" s="3">
        <v>14469</v>
      </c>
      <c r="N60" s="3">
        <v>15497</v>
      </c>
      <c r="O60" s="3">
        <v>16361</v>
      </c>
      <c r="P60" s="3">
        <v>17254</v>
      </c>
      <c r="Q60" s="3">
        <v>17686</v>
      </c>
    </row>
    <row r="61" spans="2:29" x14ac:dyDescent="0.2">
      <c r="B61" t="s">
        <v>29</v>
      </c>
      <c r="J61" s="3">
        <v>17981</v>
      </c>
      <c r="K61" s="3">
        <v>18634</v>
      </c>
      <c r="L61" s="3">
        <v>20787</v>
      </c>
      <c r="M61" s="3">
        <v>23271</v>
      </c>
      <c r="N61" s="3">
        <v>27064</v>
      </c>
      <c r="O61" s="3">
        <v>31165</v>
      </c>
      <c r="P61" s="3">
        <v>35906</v>
      </c>
      <c r="Q61" s="3">
        <v>38536</v>
      </c>
    </row>
    <row r="62" spans="2:29" s="2" customFormat="1" x14ac:dyDescent="0.2">
      <c r="B62" s="2" t="s">
        <v>38</v>
      </c>
      <c r="C62" s="4"/>
      <c r="D62" s="4"/>
      <c r="E62" s="4"/>
      <c r="F62" s="4"/>
      <c r="G62" s="4"/>
      <c r="H62" s="4"/>
      <c r="I62" s="4"/>
      <c r="J62" s="4">
        <f t="shared" ref="J62:P62" si="83">+SUM(J53:J61)</f>
        <v>205753</v>
      </c>
      <c r="K62" s="4">
        <f t="shared" si="83"/>
        <v>225071</v>
      </c>
      <c r="L62" s="4">
        <f t="shared" si="83"/>
        <v>232290</v>
      </c>
      <c r="M62" s="4">
        <f t="shared" si="83"/>
        <v>231123</v>
      </c>
      <c r="N62" s="4">
        <f t="shared" si="83"/>
        <v>243686</v>
      </c>
      <c r="O62" s="4">
        <f t="shared" si="83"/>
        <v>235290</v>
      </c>
      <c r="P62" s="4">
        <f t="shared" si="83"/>
        <v>231203</v>
      </c>
      <c r="Q62" s="4">
        <f t="shared" ref="Q62" si="84">+SUM(Q53:Q61)</f>
        <v>240733</v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2:29" x14ac:dyDescent="0.2">
      <c r="B63" t="s">
        <v>39</v>
      </c>
      <c r="J63" s="3">
        <v>206223</v>
      </c>
      <c r="K63" s="3">
        <v>220714</v>
      </c>
      <c r="L63" s="3">
        <v>238268</v>
      </c>
      <c r="M63" s="3">
        <v>253152</v>
      </c>
      <c r="N63" s="3">
        <v>268477</v>
      </c>
      <c r="O63" s="3">
        <v>287723</v>
      </c>
      <c r="P63" s="3">
        <v>302695</v>
      </c>
      <c r="Q63" s="3">
        <v>321891</v>
      </c>
    </row>
    <row r="64" spans="2:29" x14ac:dyDescent="0.2">
      <c r="B64" t="s">
        <v>40</v>
      </c>
      <c r="J64" s="3">
        <f t="shared" ref="J64:P64" si="85">+J63+J62</f>
        <v>411976</v>
      </c>
      <c r="K64" s="3">
        <f t="shared" si="85"/>
        <v>445785</v>
      </c>
      <c r="L64" s="3">
        <f t="shared" si="85"/>
        <v>470558</v>
      </c>
      <c r="M64" s="3">
        <f t="shared" si="85"/>
        <v>484275</v>
      </c>
      <c r="N64" s="3">
        <f t="shared" si="85"/>
        <v>512163</v>
      </c>
      <c r="O64" s="3">
        <f t="shared" si="85"/>
        <v>523013</v>
      </c>
      <c r="P64" s="3">
        <f t="shared" si="85"/>
        <v>533898</v>
      </c>
      <c r="Q64" s="3">
        <f t="shared" ref="Q64" si="86">+Q63+Q62</f>
        <v>562624</v>
      </c>
    </row>
    <row r="66" spans="2:29" x14ac:dyDescent="0.2">
      <c r="B66" t="s">
        <v>41</v>
      </c>
      <c r="J66" s="3">
        <f t="shared" ref="J66:Q66" si="87">+SUM(G27:J27)</f>
        <v>72361</v>
      </c>
      <c r="K66" s="3">
        <f t="shared" si="87"/>
        <v>77096</v>
      </c>
      <c r="L66" s="3">
        <f t="shared" si="87"/>
        <v>82541</v>
      </c>
      <c r="M66" s="3">
        <f t="shared" si="87"/>
        <v>86181</v>
      </c>
      <c r="N66" s="3">
        <f t="shared" si="87"/>
        <v>88136</v>
      </c>
      <c r="O66" s="3">
        <f t="shared" si="87"/>
        <v>90512</v>
      </c>
      <c r="P66" s="3">
        <f t="shared" si="87"/>
        <v>92750</v>
      </c>
      <c r="Q66" s="3">
        <f t="shared" si="87"/>
        <v>94649</v>
      </c>
    </row>
    <row r="67" spans="2:29" s="5" customFormat="1" x14ac:dyDescent="0.2">
      <c r="B67" s="5" t="s">
        <v>92</v>
      </c>
      <c r="C67" s="6"/>
      <c r="D67" s="6"/>
      <c r="E67" s="6"/>
      <c r="F67" s="6"/>
      <c r="G67" s="6"/>
      <c r="H67" s="6"/>
      <c r="I67" s="6"/>
      <c r="J67" s="6">
        <f t="shared" ref="J67:O67" si="88">+J66/(J45+J46+J47+J48+J49+J51)</f>
        <v>0.33879569066826482</v>
      </c>
      <c r="K67" s="6">
        <f t="shared" si="88"/>
        <v>0.36072354322824551</v>
      </c>
      <c r="L67" s="6">
        <f t="shared" si="88"/>
        <v>0.36306175141963604</v>
      </c>
      <c r="M67" s="6">
        <f t="shared" si="88"/>
        <v>0.35692217215558941</v>
      </c>
      <c r="N67" s="6">
        <f t="shared" si="88"/>
        <v>0.32025813672089332</v>
      </c>
      <c r="O67" s="6">
        <f t="shared" si="88"/>
        <v>0.32019017836296615</v>
      </c>
      <c r="P67" s="6">
        <f>+P66/(P45+P46+P47+P48+P49+P51)</f>
        <v>0.306930168836412</v>
      </c>
      <c r="Q67" s="6">
        <f>+Q66/(Q45+Q46+Q47+Q48+Q49+Q51)</f>
        <v>0.29242076904539754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9" spans="2:29" x14ac:dyDescent="0.2">
      <c r="B69" t="s">
        <v>42</v>
      </c>
      <c r="M69" s="3">
        <f>+M27</f>
        <v>21939</v>
      </c>
      <c r="N69" s="3">
        <f>+N27</f>
        <v>22036</v>
      </c>
      <c r="O69" s="3">
        <f>+O27</f>
        <v>24667</v>
      </c>
      <c r="P69" s="3">
        <f>+P27</f>
        <v>24108</v>
      </c>
      <c r="Q69" s="3">
        <f>+Q27</f>
        <v>23838</v>
      </c>
    </row>
    <row r="70" spans="2:29" x14ac:dyDescent="0.2">
      <c r="B70" t="s">
        <v>43</v>
      </c>
      <c r="M70" s="3">
        <v>21939</v>
      </c>
      <c r="N70" s="3">
        <v>22036</v>
      </c>
      <c r="O70" s="3">
        <v>24667</v>
      </c>
      <c r="P70" s="3">
        <v>24108</v>
      </c>
      <c r="Q70" s="3">
        <v>25824</v>
      </c>
    </row>
    <row r="71" spans="2:29" x14ac:dyDescent="0.2">
      <c r="B71" t="s">
        <v>44</v>
      </c>
      <c r="M71" s="3">
        <v>6027</v>
      </c>
      <c r="N71" s="3">
        <v>6380</v>
      </c>
      <c r="O71" s="3">
        <v>7383</v>
      </c>
      <c r="P71" s="3">
        <v>6827</v>
      </c>
      <c r="Q71" s="3">
        <v>8740</v>
      </c>
    </row>
    <row r="72" spans="2:29" x14ac:dyDescent="0.2">
      <c r="B72" t="s">
        <v>45</v>
      </c>
      <c r="M72" s="3">
        <v>2703</v>
      </c>
      <c r="N72" s="3">
        <v>2696</v>
      </c>
      <c r="O72" s="3">
        <v>2832</v>
      </c>
      <c r="P72" s="3">
        <v>3089</v>
      </c>
      <c r="Q72" s="3">
        <v>2980</v>
      </c>
    </row>
    <row r="73" spans="2:29" x14ac:dyDescent="0.2">
      <c r="B73" t="s">
        <v>59</v>
      </c>
      <c r="M73" s="3">
        <v>49</v>
      </c>
      <c r="N73" s="3">
        <v>44</v>
      </c>
      <c r="O73" s="3">
        <v>-125</v>
      </c>
      <c r="P73" s="3">
        <v>976</v>
      </c>
      <c r="Q73" s="3">
        <v>-298</v>
      </c>
    </row>
    <row r="74" spans="2:29" x14ac:dyDescent="0.2">
      <c r="B74" t="s">
        <v>37</v>
      </c>
      <c r="M74" s="3">
        <v>-1323</v>
      </c>
      <c r="N74" s="3">
        <v>-1145</v>
      </c>
      <c r="O74" s="3">
        <v>-1433</v>
      </c>
      <c r="P74" s="3">
        <v>-1158</v>
      </c>
      <c r="Q74" s="3">
        <v>-2244</v>
      </c>
    </row>
    <row r="75" spans="2:29" x14ac:dyDescent="0.2">
      <c r="B75" t="s">
        <v>27</v>
      </c>
      <c r="N75" s="3">
        <v>-13246</v>
      </c>
      <c r="O75" s="3">
        <v>14037</v>
      </c>
      <c r="P75" s="3">
        <v>-5978</v>
      </c>
      <c r="Q75" s="3">
        <v>-2461</v>
      </c>
    </row>
    <row r="76" spans="2:29" x14ac:dyDescent="0.2">
      <c r="B76" t="s">
        <v>28</v>
      </c>
      <c r="N76" s="3">
        <v>55</v>
      </c>
      <c r="O76" s="3">
        <v>-373</v>
      </c>
      <c r="P76" s="3">
        <v>711</v>
      </c>
      <c r="Q76" s="3">
        <v>52</v>
      </c>
    </row>
    <row r="77" spans="2:29" x14ac:dyDescent="0.2">
      <c r="B77" t="s">
        <v>60</v>
      </c>
      <c r="N77" s="3">
        <v>-2528</v>
      </c>
      <c r="O77" s="3">
        <v>-82</v>
      </c>
      <c r="P77" s="3">
        <v>-353</v>
      </c>
      <c r="Q77" s="3">
        <v>1076</v>
      </c>
    </row>
    <row r="78" spans="2:29" x14ac:dyDescent="0.2">
      <c r="B78" t="s">
        <v>61</v>
      </c>
      <c r="N78" s="3">
        <v>-1240</v>
      </c>
      <c r="O78" s="3">
        <v>-1761</v>
      </c>
      <c r="P78" s="3">
        <v>-1089</v>
      </c>
      <c r="Q78" s="3">
        <v>-518</v>
      </c>
    </row>
    <row r="79" spans="2:29" x14ac:dyDescent="0.2">
      <c r="B79" t="s">
        <v>34</v>
      </c>
      <c r="N79" s="3">
        <v>4204</v>
      </c>
      <c r="O79" s="3">
        <v>-916</v>
      </c>
      <c r="P79" s="3">
        <v>958</v>
      </c>
      <c r="Q79" s="3">
        <v>1179</v>
      </c>
    </row>
    <row r="80" spans="2:29" x14ac:dyDescent="0.2">
      <c r="B80" t="s">
        <v>36</v>
      </c>
      <c r="N80" s="3">
        <v>15657</v>
      </c>
      <c r="O80" s="3">
        <v>-5553</v>
      </c>
      <c r="P80" s="3">
        <v>-6338</v>
      </c>
      <c r="Q80" s="3">
        <v>-1032</v>
      </c>
    </row>
    <row r="81" spans="2:29" x14ac:dyDescent="0.2">
      <c r="B81" t="s">
        <v>16</v>
      </c>
      <c r="N81" s="3">
        <v>-806</v>
      </c>
      <c r="O81" s="3">
        <v>1016</v>
      </c>
      <c r="P81" s="3">
        <v>-3395</v>
      </c>
      <c r="Q81" s="3">
        <v>1298</v>
      </c>
    </row>
    <row r="82" spans="2:29" x14ac:dyDescent="0.2">
      <c r="B82" t="s">
        <v>62</v>
      </c>
      <c r="N82" s="3">
        <v>4652</v>
      </c>
      <c r="O82" s="3">
        <v>-5479</v>
      </c>
      <c r="P82" s="3">
        <v>3217</v>
      </c>
      <c r="Q82" s="3">
        <v>2839</v>
      </c>
    </row>
    <row r="83" spans="2:29" x14ac:dyDescent="0.2">
      <c r="B83" t="s">
        <v>63</v>
      </c>
      <c r="N83" s="3">
        <v>436</v>
      </c>
      <c r="O83" s="3">
        <v>-33</v>
      </c>
      <c r="P83" s="3">
        <v>716</v>
      </c>
      <c r="Q83" s="3">
        <v>-391</v>
      </c>
    </row>
    <row r="84" spans="2:29" x14ac:dyDescent="0.2">
      <c r="B84" t="s">
        <v>46</v>
      </c>
      <c r="M84" s="3">
        <f>+-2028+260+951-2137+648-645+2622+2803+48</f>
        <v>2522</v>
      </c>
      <c r="N84" s="3">
        <f>+SUM(N75:N83)</f>
        <v>7184</v>
      </c>
      <c r="O84" s="3">
        <f>+SUM(O75:O83)</f>
        <v>856</v>
      </c>
      <c r="P84" s="3">
        <f>+SUM(P75:P83)</f>
        <v>-11551</v>
      </c>
      <c r="Q84" s="3">
        <f>+SUM(Q75:Q83)</f>
        <v>2042</v>
      </c>
    </row>
    <row r="85" spans="2:29" s="2" customFormat="1" x14ac:dyDescent="0.2">
      <c r="B85" s="2" t="s">
        <v>47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f>+SUM(M70:M84)</f>
        <v>31917</v>
      </c>
      <c r="N85" s="4">
        <f>+N84+SUM(N70:N74)</f>
        <v>37195</v>
      </c>
      <c r="O85" s="4">
        <f>+O84+SUM(O70:O74)</f>
        <v>34180</v>
      </c>
      <c r="P85" s="4">
        <f>+P84+SUM(P70:P74)</f>
        <v>22291</v>
      </c>
      <c r="Q85" s="4">
        <f>+Q84+SUM(Q70:Q74)</f>
        <v>37044</v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2:29" x14ac:dyDescent="0.2">
      <c r="N86" s="6"/>
      <c r="O86" s="6"/>
      <c r="P86" s="6"/>
      <c r="Q86" s="6"/>
    </row>
    <row r="87" spans="2:29" x14ac:dyDescent="0.2">
      <c r="B87" t="s">
        <v>52</v>
      </c>
      <c r="M87" s="3">
        <v>-10952</v>
      </c>
      <c r="N87" s="3">
        <v>-13873</v>
      </c>
      <c r="O87" s="3">
        <v>-14923</v>
      </c>
      <c r="P87" s="3">
        <v>-15804</v>
      </c>
      <c r="Q87" s="3">
        <v>-16745</v>
      </c>
    </row>
    <row r="88" spans="2:29" x14ac:dyDescent="0.2">
      <c r="B88" t="s">
        <v>93</v>
      </c>
      <c r="M88" s="3">
        <v>-1575</v>
      </c>
      <c r="N88" s="3">
        <v>-1342</v>
      </c>
      <c r="O88" s="3">
        <v>-1849</v>
      </c>
      <c r="P88" s="3">
        <v>-1405</v>
      </c>
      <c r="Q88" s="3">
        <v>-981</v>
      </c>
    </row>
    <row r="89" spans="2:29" x14ac:dyDescent="0.2">
      <c r="B89" t="s">
        <v>54</v>
      </c>
      <c r="M89" s="3">
        <f>-2183+3350+1941</f>
        <v>3108</v>
      </c>
      <c r="N89" s="3">
        <f>-2831+1557+2023</f>
        <v>749</v>
      </c>
      <c r="O89" s="3">
        <f>-1620+2136+1968</f>
        <v>2484</v>
      </c>
      <c r="P89" s="3">
        <f>-2050+2604+2559</f>
        <v>3113</v>
      </c>
      <c r="Q89" s="3">
        <f>-4474+6721+2161</f>
        <v>4408</v>
      </c>
    </row>
    <row r="90" spans="2:29" x14ac:dyDescent="0.2">
      <c r="B90" t="s">
        <v>29</v>
      </c>
      <c r="M90" s="3">
        <v>-1281</v>
      </c>
      <c r="N90" s="3">
        <v>-382</v>
      </c>
      <c r="O90" s="3">
        <v>-913</v>
      </c>
      <c r="P90" s="3">
        <v>-16</v>
      </c>
      <c r="Q90" s="3">
        <v>604</v>
      </c>
    </row>
    <row r="91" spans="2:29" x14ac:dyDescent="0.2">
      <c r="B91" t="s">
        <v>51</v>
      </c>
      <c r="M91" s="3">
        <f>+SUM(M87:M90)</f>
        <v>-10700</v>
      </c>
      <c r="N91" s="3">
        <f>+SUM(N87:N90)</f>
        <v>-14848</v>
      </c>
      <c r="O91" s="3">
        <f>+SUM(O87:O90)</f>
        <v>-15201</v>
      </c>
      <c r="P91" s="3">
        <f>+SUM(P87:P90)</f>
        <v>-14112</v>
      </c>
      <c r="Q91" s="3">
        <f>+SUM(Q87:Q90)</f>
        <v>-12714</v>
      </c>
    </row>
    <row r="93" spans="2:29" x14ac:dyDescent="0.2">
      <c r="B93" t="s">
        <v>53</v>
      </c>
      <c r="M93" s="3">
        <v>-3810</v>
      </c>
      <c r="N93" s="3">
        <v>-1142</v>
      </c>
      <c r="O93" s="3">
        <v>-5746</v>
      </c>
      <c r="P93" s="3">
        <v>0</v>
      </c>
      <c r="Q93" s="3">
        <v>0</v>
      </c>
    </row>
    <row r="94" spans="2:29" x14ac:dyDescent="0.2">
      <c r="B94" t="s">
        <v>4</v>
      </c>
      <c r="M94" s="3">
        <f>6352-11589</f>
        <v>-5237</v>
      </c>
      <c r="N94" s="3">
        <f>197-13065</f>
        <v>-12868</v>
      </c>
      <c r="O94" s="3">
        <v>-966</v>
      </c>
      <c r="P94" s="3">
        <v>0</v>
      </c>
      <c r="Q94" s="3">
        <v>-2250</v>
      </c>
    </row>
    <row r="95" spans="2:29" x14ac:dyDescent="0.2">
      <c r="B95" t="s">
        <v>48</v>
      </c>
      <c r="M95" s="3">
        <v>522</v>
      </c>
      <c r="N95" s="3">
        <v>534</v>
      </c>
      <c r="O95" s="3">
        <v>706</v>
      </c>
      <c r="P95" s="3">
        <v>256</v>
      </c>
      <c r="Q95" s="3">
        <v>546</v>
      </c>
    </row>
    <row r="96" spans="2:29" x14ac:dyDescent="0.2">
      <c r="B96" t="s">
        <v>49</v>
      </c>
      <c r="M96" s="3">
        <v>-4213</v>
      </c>
      <c r="N96" s="3">
        <v>-4210</v>
      </c>
      <c r="O96" s="3">
        <v>-4107</v>
      </c>
      <c r="P96" s="3">
        <v>-4986</v>
      </c>
      <c r="Q96" s="3">
        <v>-4781</v>
      </c>
    </row>
    <row r="97" spans="2:17" x14ac:dyDescent="0.2">
      <c r="B97" t="s">
        <v>50</v>
      </c>
      <c r="M97" s="3">
        <v>-5572</v>
      </c>
      <c r="N97" s="3">
        <v>-5574</v>
      </c>
      <c r="O97" s="3">
        <v>-5574</v>
      </c>
      <c r="P97" s="3">
        <v>-6170</v>
      </c>
      <c r="Q97" s="3">
        <v>-6169</v>
      </c>
    </row>
    <row r="98" spans="2:17" x14ac:dyDescent="0.2">
      <c r="B98" t="s">
        <v>29</v>
      </c>
      <c r="M98" s="3">
        <v>-498</v>
      </c>
      <c r="N98" s="3">
        <v>-303</v>
      </c>
      <c r="O98" s="3">
        <v>-889</v>
      </c>
      <c r="P98" s="3">
        <v>-343</v>
      </c>
      <c r="Q98" s="3">
        <v>-382</v>
      </c>
    </row>
    <row r="99" spans="2:17" x14ac:dyDescent="0.2">
      <c r="B99" t="s">
        <v>55</v>
      </c>
      <c r="M99" s="3">
        <f>+SUM(M93:M98)</f>
        <v>-18808</v>
      </c>
      <c r="N99" s="3">
        <f>+SUM(N93:N98)</f>
        <v>-23563</v>
      </c>
      <c r="O99" s="3">
        <f>+SUM(O93:O98)</f>
        <v>-16576</v>
      </c>
      <c r="P99" s="3">
        <f>+SUM(P93:P98)</f>
        <v>-11243</v>
      </c>
      <c r="Q99" s="3">
        <f>+SUM(Q93:Q98)</f>
        <v>-13036</v>
      </c>
    </row>
    <row r="100" spans="2:17" x14ac:dyDescent="0.2">
      <c r="B100" t="s">
        <v>56</v>
      </c>
      <c r="M100" s="3">
        <v>-80</v>
      </c>
      <c r="N100" s="3">
        <v>-103</v>
      </c>
      <c r="O100" s="3">
        <v>122</v>
      </c>
      <c r="P100" s="3">
        <v>-294</v>
      </c>
      <c r="Q100" s="3">
        <v>52</v>
      </c>
    </row>
    <row r="101" spans="2:17" x14ac:dyDescent="0.2">
      <c r="B101" t="s">
        <v>57</v>
      </c>
      <c r="M101" s="3">
        <f>+M85+M99+M91+M100</f>
        <v>2329</v>
      </c>
      <c r="N101" s="3">
        <f>+N85+N99+N91+N100</f>
        <v>-1319</v>
      </c>
      <c r="O101" s="3">
        <f>+O85+O99+O91+O100</f>
        <v>2525</v>
      </c>
      <c r="P101" s="3">
        <f>+P85+P99+P91+P100</f>
        <v>-3358</v>
      </c>
      <c r="Q101" s="3">
        <f>+Q85+Q99+Q91+Q100</f>
        <v>11346</v>
      </c>
    </row>
    <row r="103" spans="2:17" x14ac:dyDescent="0.2">
      <c r="B103" t="s">
        <v>58</v>
      </c>
      <c r="M103" s="3">
        <f>+M85+M87</f>
        <v>20965</v>
      </c>
      <c r="N103" s="3">
        <f>+N85+N87</f>
        <v>23322</v>
      </c>
      <c r="O103" s="3">
        <f>+O85+O87</f>
        <v>19257</v>
      </c>
      <c r="P103" s="3">
        <f>+P85+P87</f>
        <v>6487</v>
      </c>
      <c r="Q103" s="3">
        <f>+Q85+Q87</f>
        <v>20299</v>
      </c>
    </row>
    <row r="104" spans="2:17" x14ac:dyDescent="0.2">
      <c r="P104" s="3">
        <f>+SUM(M103:P103)</f>
        <v>70031</v>
      </c>
      <c r="Q104" s="3">
        <f>+SUM(N103:Q103)</f>
        <v>69365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2024-06-16T07:45:15Z</dcterms:created>
  <dcterms:modified xsi:type="dcterms:W3CDTF">2025-05-01T04:06:11Z</dcterms:modified>
</cp:coreProperties>
</file>