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B152D595-F4DC-4D2F-870D-B1B8A6434C7B}" xr6:coauthVersionLast="47" xr6:coauthVersionMax="47" xr10:uidLastSave="{00000000-0000-0000-0000-000000000000}"/>
  <bookViews>
    <workbookView xWindow="225" yWindow="90" windowWidth="14235" windowHeight="15495" xr2:uid="{1071E181-7193-421C-A5CB-A2D36C45E13C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R94" i="2"/>
  <c r="R95" i="2" s="1"/>
  <c r="R92" i="2"/>
  <c r="R89" i="2"/>
  <c r="R75" i="2"/>
  <c r="Q75" i="2"/>
  <c r="P75" i="2"/>
  <c r="O75" i="2"/>
  <c r="N75" i="2"/>
  <c r="M75" i="2"/>
  <c r="R76" i="2"/>
  <c r="R74" i="2"/>
  <c r="R80" i="2" s="1"/>
  <c r="R71" i="2"/>
  <c r="R72" i="2" s="1"/>
  <c r="R70" i="2"/>
  <c r="R47" i="2"/>
  <c r="R43" i="2"/>
  <c r="R41" i="2"/>
  <c r="R55" i="2"/>
  <c r="R57" i="2" s="1"/>
  <c r="R38" i="2"/>
  <c r="R37" i="2"/>
  <c r="R36" i="2"/>
  <c r="R35" i="2"/>
  <c r="R30" i="2"/>
  <c r="R21" i="2"/>
  <c r="R22" i="2" s="1"/>
  <c r="R24" i="2" s="1"/>
  <c r="R16" i="2"/>
  <c r="R4" i="2"/>
  <c r="AB7" i="2"/>
  <c r="AB6" i="2"/>
  <c r="Y3" i="2"/>
  <c r="Z3" i="2"/>
  <c r="AA4" i="2" s="1"/>
  <c r="AB3" i="2"/>
  <c r="AB4" i="2" s="1"/>
  <c r="P4" i="2"/>
  <c r="O4" i="2"/>
  <c r="N4" i="2"/>
  <c r="M4" i="2"/>
  <c r="L4" i="2"/>
  <c r="K4" i="2"/>
  <c r="J4" i="2"/>
  <c r="I4" i="2"/>
  <c r="H4" i="2"/>
  <c r="G4" i="2"/>
  <c r="F4" i="2"/>
  <c r="Q4" i="2"/>
  <c r="AC17" i="2"/>
  <c r="AD17" i="2" s="1"/>
  <c r="AE17" i="2" s="1"/>
  <c r="AF17" i="2" s="1"/>
  <c r="AG17" i="2" s="1"/>
  <c r="AH17" i="2" s="1"/>
  <c r="AI17" i="2" s="1"/>
  <c r="AJ17" i="2" s="1"/>
  <c r="AK17" i="2" s="1"/>
  <c r="AL17" i="2" s="1"/>
  <c r="Y30" i="2"/>
  <c r="X21" i="2"/>
  <c r="AB21" i="2"/>
  <c r="AA21" i="2"/>
  <c r="Z21" i="2"/>
  <c r="Y21" i="2"/>
  <c r="AB16" i="2"/>
  <c r="AB30" i="2" s="1"/>
  <c r="AA16" i="2"/>
  <c r="AA30" i="2" s="1"/>
  <c r="Z16" i="2"/>
  <c r="Z30" i="2" s="1"/>
  <c r="Y16" i="2"/>
  <c r="X16" i="2"/>
  <c r="X30" i="2" s="1"/>
  <c r="N30" i="2"/>
  <c r="K30" i="2"/>
  <c r="J30" i="2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P16" i="2"/>
  <c r="P30" i="2" s="1"/>
  <c r="O16" i="2"/>
  <c r="O30" i="2" s="1"/>
  <c r="N16" i="2"/>
  <c r="M16" i="2"/>
  <c r="M30" i="2" s="1"/>
  <c r="L16" i="2"/>
  <c r="L30" i="2" s="1"/>
  <c r="K16" i="2"/>
  <c r="J16" i="2"/>
  <c r="I16" i="2"/>
  <c r="I30" i="2" s="1"/>
  <c r="H16" i="2"/>
  <c r="H30" i="2" s="1"/>
  <c r="G16" i="2"/>
  <c r="G30" i="2" s="1"/>
  <c r="F16" i="2"/>
  <c r="F30" i="2" s="1"/>
  <c r="E16" i="2"/>
  <c r="E30" i="2" s="1"/>
  <c r="D16" i="2"/>
  <c r="D30" i="2" s="1"/>
  <c r="C16" i="2"/>
  <c r="C30" i="2" s="1"/>
  <c r="B16" i="2"/>
  <c r="B30" i="2" s="1"/>
  <c r="AD20" i="2"/>
  <c r="AE20" i="2" s="1"/>
  <c r="AF20" i="2" s="1"/>
  <c r="AG20" i="2" s="1"/>
  <c r="AH20" i="2" s="1"/>
  <c r="AI20" i="2" s="1"/>
  <c r="AJ20" i="2" s="1"/>
  <c r="AK20" i="2" s="1"/>
  <c r="AL20" i="2" s="1"/>
  <c r="AC20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R26" i="2" l="1"/>
  <c r="R33" i="2"/>
  <c r="R31" i="2"/>
  <c r="Z4" i="2"/>
  <c r="R49" i="2"/>
  <c r="R40" i="2"/>
  <c r="AC28" i="2"/>
  <c r="AD28" i="2" s="1"/>
  <c r="AE28" i="2" s="1"/>
  <c r="AF28" i="2" s="1"/>
  <c r="AG28" i="2" s="1"/>
  <c r="AH28" i="2" s="1"/>
  <c r="AI28" i="2" s="1"/>
  <c r="AJ28" i="2" s="1"/>
  <c r="AK28" i="2" s="1"/>
  <c r="AL28" i="2" s="1"/>
  <c r="AC18" i="2"/>
  <c r="AD18" i="2" s="1"/>
  <c r="AE18" i="2" s="1"/>
  <c r="X35" i="2"/>
  <c r="AC13" i="2"/>
  <c r="Q79" i="2"/>
  <c r="Q76" i="2"/>
  <c r="Q74" i="2"/>
  <c r="Q71" i="2"/>
  <c r="Q70" i="2"/>
  <c r="Q89" i="2"/>
  <c r="Q47" i="2"/>
  <c r="Q43" i="2"/>
  <c r="Q41" i="2"/>
  <c r="Q55" i="2"/>
  <c r="Q57" i="2" s="1"/>
  <c r="P85" i="2"/>
  <c r="P89" i="2" s="1"/>
  <c r="P79" i="2"/>
  <c r="P76" i="2"/>
  <c r="P71" i="2"/>
  <c r="P70" i="2"/>
  <c r="P72" i="2" s="1"/>
  <c r="P94" i="2" s="1"/>
  <c r="P47" i="2"/>
  <c r="P43" i="2"/>
  <c r="P41" i="2"/>
  <c r="P55" i="2"/>
  <c r="P57" i="2" s="1"/>
  <c r="O85" i="2"/>
  <c r="O89" i="2" s="1"/>
  <c r="O76" i="2"/>
  <c r="O80" i="2" s="1"/>
  <c r="O71" i="2"/>
  <c r="O70" i="2"/>
  <c r="O47" i="2"/>
  <c r="O43" i="2"/>
  <c r="O41" i="2"/>
  <c r="O55" i="2"/>
  <c r="O57" i="2" s="1"/>
  <c r="N85" i="2"/>
  <c r="N89" i="2" s="1"/>
  <c r="N76" i="2"/>
  <c r="N80" i="2" s="1"/>
  <c r="M76" i="2"/>
  <c r="N71" i="2"/>
  <c r="M71" i="2"/>
  <c r="N70" i="2"/>
  <c r="M85" i="2"/>
  <c r="M89" i="2" s="1"/>
  <c r="M50" i="2"/>
  <c r="M55" i="2" s="1"/>
  <c r="L50" i="2"/>
  <c r="K50" i="2"/>
  <c r="J50" i="2"/>
  <c r="I50" i="2"/>
  <c r="N43" i="2"/>
  <c r="M43" i="2"/>
  <c r="M42" i="2"/>
  <c r="L43" i="2"/>
  <c r="L42" i="2"/>
  <c r="K43" i="2"/>
  <c r="K42" i="2"/>
  <c r="J42" i="2"/>
  <c r="I42" i="2"/>
  <c r="N41" i="2"/>
  <c r="N40" i="2" s="1"/>
  <c r="N55" i="2"/>
  <c r="Q28" i="2"/>
  <c r="Q25" i="2"/>
  <c r="Q23" i="2"/>
  <c r="Q20" i="2"/>
  <c r="Q38" i="2" s="1"/>
  <c r="Q19" i="2"/>
  <c r="Q37" i="2" s="1"/>
  <c r="Q18" i="2"/>
  <c r="Q36" i="2" s="1"/>
  <c r="Q17" i="2"/>
  <c r="Q15" i="2"/>
  <c r="Q14" i="2"/>
  <c r="Q13" i="2"/>
  <c r="AB22" i="2"/>
  <c r="AA35" i="2"/>
  <c r="Z35" i="2"/>
  <c r="Y35" i="2"/>
  <c r="AB35" i="2"/>
  <c r="P38" i="2"/>
  <c r="P37" i="2"/>
  <c r="P36" i="2"/>
  <c r="P35" i="2"/>
  <c r="O38" i="2"/>
  <c r="O37" i="2"/>
  <c r="O36" i="2"/>
  <c r="O35" i="2"/>
  <c r="N38" i="2"/>
  <c r="N37" i="2"/>
  <c r="N36" i="2"/>
  <c r="N35" i="2"/>
  <c r="M74" i="2"/>
  <c r="M70" i="2"/>
  <c r="L53" i="2"/>
  <c r="K53" i="2"/>
  <c r="J53" i="2"/>
  <c r="I53" i="2"/>
  <c r="M47" i="2"/>
  <c r="M41" i="2"/>
  <c r="M40" i="2" s="1"/>
  <c r="L47" i="2"/>
  <c r="L41" i="2"/>
  <c r="L40" i="2" s="1"/>
  <c r="L38" i="2"/>
  <c r="K38" i="2"/>
  <c r="J38" i="2"/>
  <c r="I38" i="2"/>
  <c r="H38" i="2"/>
  <c r="G38" i="2"/>
  <c r="F38" i="2"/>
  <c r="L37" i="2"/>
  <c r="K37" i="2"/>
  <c r="J37" i="2"/>
  <c r="I37" i="2"/>
  <c r="H37" i="2"/>
  <c r="G37" i="2"/>
  <c r="F37" i="2"/>
  <c r="L36" i="2"/>
  <c r="K36" i="2"/>
  <c r="J36" i="2"/>
  <c r="I36" i="2"/>
  <c r="H36" i="2"/>
  <c r="G36" i="2"/>
  <c r="F36" i="2"/>
  <c r="L35" i="2"/>
  <c r="K35" i="2"/>
  <c r="J35" i="2"/>
  <c r="I35" i="2"/>
  <c r="H35" i="2"/>
  <c r="G35" i="2"/>
  <c r="F35" i="2"/>
  <c r="M38" i="2"/>
  <c r="M37" i="2"/>
  <c r="M36" i="2"/>
  <c r="M35" i="2"/>
  <c r="K47" i="2"/>
  <c r="K41" i="2"/>
  <c r="I47" i="2"/>
  <c r="I41" i="2"/>
  <c r="I40" i="2" s="1"/>
  <c r="J41" i="2"/>
  <c r="J40" i="2" s="1"/>
  <c r="J47" i="2"/>
  <c r="X22" i="2"/>
  <c r="X24" i="2" s="1"/>
  <c r="X26" i="2" s="1"/>
  <c r="X27" i="2" s="1"/>
  <c r="Y22" i="2"/>
  <c r="Y24" i="2" s="1"/>
  <c r="Y26" i="2" s="1"/>
  <c r="Y27" i="2" s="1"/>
  <c r="D24" i="2"/>
  <c r="D26" i="2" s="1"/>
  <c r="D27" i="2" s="1"/>
  <c r="C24" i="2"/>
  <c r="C26" i="2" s="1"/>
  <c r="C27" i="2" s="1"/>
  <c r="B24" i="2"/>
  <c r="B26" i="2" s="1"/>
  <c r="B27" i="2" s="1"/>
  <c r="E24" i="2"/>
  <c r="E33" i="2" s="1"/>
  <c r="F24" i="2"/>
  <c r="F26" i="2" s="1"/>
  <c r="F27" i="2" s="1"/>
  <c r="J24" i="2"/>
  <c r="J26" i="2" s="1"/>
  <c r="J27" i="2" s="1"/>
  <c r="G24" i="2"/>
  <c r="G26" i="2" s="1"/>
  <c r="G27" i="2" s="1"/>
  <c r="K24" i="2"/>
  <c r="K26" i="2" s="1"/>
  <c r="K27" i="2" s="1"/>
  <c r="H24" i="2"/>
  <c r="H26" i="2" s="1"/>
  <c r="H27" i="2" s="1"/>
  <c r="L24" i="2"/>
  <c r="L26" i="2" s="1"/>
  <c r="L27" i="2" s="1"/>
  <c r="Z22" i="2"/>
  <c r="Z24" i="2" s="1"/>
  <c r="Z26" i="2" s="1"/>
  <c r="Z27" i="2" s="1"/>
  <c r="AA22" i="2"/>
  <c r="AA24" i="2" s="1"/>
  <c r="AA26" i="2" s="1"/>
  <c r="AA27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I24" i="2"/>
  <c r="I26" i="2" s="1"/>
  <c r="I27" i="2" s="1"/>
  <c r="Q16" i="2" l="1"/>
  <c r="Q30" i="2" s="1"/>
  <c r="R27" i="2"/>
  <c r="R59" i="2"/>
  <c r="R32" i="2"/>
  <c r="Q35" i="2"/>
  <c r="Q21" i="2"/>
  <c r="Q22" i="2" s="1"/>
  <c r="Q24" i="2" s="1"/>
  <c r="AD13" i="2"/>
  <c r="AC19" i="2"/>
  <c r="AF18" i="2"/>
  <c r="AG18" i="2" s="1"/>
  <c r="AH18" i="2" s="1"/>
  <c r="AI18" i="2" s="1"/>
  <c r="AJ18" i="2" s="1"/>
  <c r="AK18" i="2" s="1"/>
  <c r="AL18" i="2" s="1"/>
  <c r="AD14" i="2"/>
  <c r="Q49" i="2"/>
  <c r="P49" i="2"/>
  <c r="Q72" i="2"/>
  <c r="Q94" i="2" s="1"/>
  <c r="N72" i="2"/>
  <c r="N94" i="2" s="1"/>
  <c r="O49" i="2"/>
  <c r="P80" i="2"/>
  <c r="P92" i="2" s="1"/>
  <c r="AC35" i="2"/>
  <c r="M80" i="2"/>
  <c r="O72" i="2"/>
  <c r="O94" i="2" s="1"/>
  <c r="AC14" i="2"/>
  <c r="AC21" i="2" s="1"/>
  <c r="AD35" i="2"/>
  <c r="Q80" i="2"/>
  <c r="Q40" i="2"/>
  <c r="AB40" i="2" s="1"/>
  <c r="P40" i="2"/>
  <c r="O40" i="2"/>
  <c r="I49" i="2"/>
  <c r="N49" i="2"/>
  <c r="X32" i="2"/>
  <c r="Z31" i="2"/>
  <c r="AA32" i="2"/>
  <c r="X33" i="2"/>
  <c r="Z32" i="2"/>
  <c r="Y33" i="2"/>
  <c r="Z33" i="2"/>
  <c r="AA33" i="2"/>
  <c r="X31" i="2"/>
  <c r="Y31" i="2"/>
  <c r="AA31" i="2"/>
  <c r="Y32" i="2"/>
  <c r="N57" i="2"/>
  <c r="AB24" i="2"/>
  <c r="AB31" i="2"/>
  <c r="M72" i="2"/>
  <c r="M94" i="2" s="1"/>
  <c r="P24" i="2"/>
  <c r="P31" i="2"/>
  <c r="O24" i="2"/>
  <c r="O31" i="2"/>
  <c r="N24" i="2"/>
  <c r="N31" i="2"/>
  <c r="L55" i="2"/>
  <c r="K55" i="2"/>
  <c r="J33" i="2"/>
  <c r="H33" i="2"/>
  <c r="H32" i="2"/>
  <c r="E31" i="2"/>
  <c r="F31" i="2"/>
  <c r="G31" i="2"/>
  <c r="H31" i="2"/>
  <c r="F32" i="2"/>
  <c r="G32" i="2"/>
  <c r="J55" i="2"/>
  <c r="I55" i="2"/>
  <c r="D31" i="2"/>
  <c r="F33" i="2"/>
  <c r="G33" i="2"/>
  <c r="I31" i="2"/>
  <c r="J32" i="2"/>
  <c r="K33" i="2"/>
  <c r="I32" i="2"/>
  <c r="J31" i="2"/>
  <c r="K32" i="2"/>
  <c r="L33" i="2"/>
  <c r="L49" i="2"/>
  <c r="K31" i="2"/>
  <c r="L32" i="2"/>
  <c r="L31" i="2"/>
  <c r="B33" i="2"/>
  <c r="B32" i="2"/>
  <c r="C33" i="2"/>
  <c r="I33" i="2"/>
  <c r="B31" i="2"/>
  <c r="C32" i="2"/>
  <c r="D33" i="2"/>
  <c r="C31" i="2"/>
  <c r="D32" i="2"/>
  <c r="M49" i="2"/>
  <c r="M56" i="2" s="1"/>
  <c r="M57" i="2" s="1"/>
  <c r="K49" i="2"/>
  <c r="K40" i="2"/>
  <c r="J49" i="2"/>
  <c r="E26" i="2"/>
  <c r="K4" i="1"/>
  <c r="K7" i="1" s="1"/>
  <c r="K9" i="1" s="1"/>
  <c r="AD16" i="2" l="1"/>
  <c r="AD30" i="2" s="1"/>
  <c r="AC16" i="2"/>
  <c r="AC30" i="2" s="1"/>
  <c r="Q92" i="2"/>
  <c r="AE13" i="2"/>
  <c r="AD19" i="2"/>
  <c r="Q95" i="2"/>
  <c r="O92" i="2"/>
  <c r="AC23" i="2"/>
  <c r="AC22" i="2"/>
  <c r="N92" i="2"/>
  <c r="P95" i="2"/>
  <c r="M92" i="2"/>
  <c r="Q31" i="2"/>
  <c r="AB26" i="2"/>
  <c r="AB33" i="2"/>
  <c r="K56" i="2"/>
  <c r="K57" i="2" s="1"/>
  <c r="Q26" i="2"/>
  <c r="Q33" i="2"/>
  <c r="P26" i="2"/>
  <c r="P59" i="2" s="1"/>
  <c r="P33" i="2"/>
  <c r="O33" i="2"/>
  <c r="O26" i="2"/>
  <c r="O59" i="2" s="1"/>
  <c r="N26" i="2"/>
  <c r="N59" i="2" s="1"/>
  <c r="N33" i="2"/>
  <c r="L56" i="2"/>
  <c r="L57" i="2" s="1"/>
  <c r="J56" i="2"/>
  <c r="J57" i="2" s="1"/>
  <c r="I56" i="2"/>
  <c r="I57" i="2" s="1"/>
  <c r="M24" i="2"/>
  <c r="M31" i="2"/>
  <c r="E27" i="2"/>
  <c r="E32" i="2"/>
  <c r="AD21" i="2" l="1"/>
  <c r="AD22" i="2" s="1"/>
  <c r="AD31" i="2" s="1"/>
  <c r="AF13" i="2"/>
  <c r="AE19" i="2"/>
  <c r="AE35" i="2"/>
  <c r="AE14" i="2"/>
  <c r="AE21" i="2" s="1"/>
  <c r="AC31" i="2"/>
  <c r="AC24" i="2"/>
  <c r="Q27" i="2"/>
  <c r="Q59" i="2"/>
  <c r="AB27" i="2"/>
  <c r="AB32" i="2"/>
  <c r="Q32" i="2"/>
  <c r="P32" i="2"/>
  <c r="P27" i="2"/>
  <c r="O27" i="2"/>
  <c r="O32" i="2"/>
  <c r="N27" i="2"/>
  <c r="N32" i="2"/>
  <c r="M26" i="2"/>
  <c r="M59" i="2" s="1"/>
  <c r="M33" i="2"/>
  <c r="AE16" i="2" l="1"/>
  <c r="AE30" i="2" s="1"/>
  <c r="AE22" i="2"/>
  <c r="AE31" i="2" s="1"/>
  <c r="AG13" i="2"/>
  <c r="AF14" i="2"/>
  <c r="AF19" i="2"/>
  <c r="AF35" i="2"/>
  <c r="AC25" i="2"/>
  <c r="AC33" i="2" s="1"/>
  <c r="M27" i="2"/>
  <c r="M32" i="2"/>
  <c r="AF21" i="2" l="1"/>
  <c r="AF16" i="2"/>
  <c r="AF30" i="2" s="1"/>
  <c r="AF22" i="2"/>
  <c r="AF31" i="2" s="1"/>
  <c r="AH13" i="2"/>
  <c r="AG14" i="2"/>
  <c r="AG21" i="2" s="1"/>
  <c r="AG19" i="2"/>
  <c r="AG35" i="2"/>
  <c r="AC26" i="2"/>
  <c r="AG16" i="2" l="1"/>
  <c r="AG30" i="2" s="1"/>
  <c r="AG22" i="2"/>
  <c r="AG31" i="2" s="1"/>
  <c r="AI13" i="2"/>
  <c r="AH14" i="2"/>
  <c r="AH21" i="2" s="1"/>
  <c r="AH19" i="2"/>
  <c r="AH35" i="2"/>
  <c r="AC27" i="2"/>
  <c r="AC32" i="2"/>
  <c r="AC40" i="2"/>
  <c r="AH16" i="2" l="1"/>
  <c r="AH30" i="2" s="1"/>
  <c r="AH22" i="2"/>
  <c r="AH31" i="2" s="1"/>
  <c r="AJ13" i="2"/>
  <c r="AI19" i="2"/>
  <c r="AI14" i="2"/>
  <c r="AI21" i="2" s="1"/>
  <c r="AI35" i="2"/>
  <c r="AD23" i="2"/>
  <c r="AD24" i="2" s="1"/>
  <c r="AI16" i="2" l="1"/>
  <c r="AI30" i="2" s="1"/>
  <c r="AI22" i="2"/>
  <c r="AI31" i="2" s="1"/>
  <c r="AK13" i="2"/>
  <c r="AJ19" i="2"/>
  <c r="AJ14" i="2"/>
  <c r="AJ35" i="2"/>
  <c r="AD25" i="2"/>
  <c r="AD33" i="2" s="1"/>
  <c r="AJ21" i="2" l="1"/>
  <c r="AJ16" i="2"/>
  <c r="AJ30" i="2" s="1"/>
  <c r="AJ22" i="2"/>
  <c r="AJ31" i="2" s="1"/>
  <c r="AL13" i="2"/>
  <c r="AK19" i="2"/>
  <c r="AK14" i="2"/>
  <c r="AK21" i="2" s="1"/>
  <c r="AK35" i="2"/>
  <c r="AD26" i="2"/>
  <c r="AD32" i="2" s="1"/>
  <c r="AD27" i="2" l="1"/>
  <c r="AD40" i="2"/>
  <c r="AK16" i="2"/>
  <c r="AK30" i="2" s="1"/>
  <c r="AK22" i="2"/>
  <c r="AK31" i="2" s="1"/>
  <c r="AL19" i="2"/>
  <c r="AL14" i="2"/>
  <c r="AL21" i="2" s="1"/>
  <c r="AL35" i="2"/>
  <c r="AE23" i="2"/>
  <c r="AE24" i="2" s="1"/>
  <c r="AL16" i="2" l="1"/>
  <c r="AL30" i="2" s="1"/>
  <c r="AL22" i="2"/>
  <c r="AL31" i="2" s="1"/>
  <c r="AE25" i="2"/>
  <c r="AE33" i="2" s="1"/>
  <c r="AE26" i="2" l="1"/>
  <c r="AE27" i="2" s="1"/>
  <c r="AE40" i="2" l="1"/>
  <c r="AF23" i="2" s="1"/>
  <c r="AF24" i="2" s="1"/>
  <c r="AE32" i="2"/>
  <c r="AF25" i="2" l="1"/>
  <c r="AF33" i="2" s="1"/>
  <c r="AF26" i="2" l="1"/>
  <c r="AF27" i="2" s="1"/>
  <c r="AF32" i="2" l="1"/>
  <c r="AF40" i="2"/>
  <c r="AG23" i="2" s="1"/>
  <c r="AG24" i="2" s="1"/>
  <c r="AG25" i="2" l="1"/>
  <c r="AG33" i="2" s="1"/>
  <c r="AG26" i="2" l="1"/>
  <c r="AG27" i="2" s="1"/>
  <c r="AG32" i="2" l="1"/>
  <c r="AG40" i="2"/>
  <c r="AH23" i="2" s="1"/>
  <c r="AH24" i="2" s="1"/>
  <c r="AH25" i="2" l="1"/>
  <c r="AH33" i="2" s="1"/>
  <c r="AH26" i="2" l="1"/>
  <c r="AH32" i="2" l="1"/>
  <c r="AH27" i="2"/>
  <c r="AH40" i="2"/>
  <c r="AI23" i="2" l="1"/>
  <c r="AI24" i="2" s="1"/>
  <c r="AI25" i="2" l="1"/>
  <c r="AI33" i="2" s="1"/>
  <c r="AI26" i="2" l="1"/>
  <c r="AI27" i="2" l="1"/>
  <c r="AI32" i="2"/>
  <c r="AI40" i="2"/>
  <c r="AJ23" i="2" l="1"/>
  <c r="AJ24" i="2" s="1"/>
  <c r="AJ25" i="2" l="1"/>
  <c r="AJ33" i="2" s="1"/>
  <c r="AJ26" i="2" l="1"/>
  <c r="AJ27" i="2" s="1"/>
  <c r="AJ40" i="2" l="1"/>
  <c r="AK23" i="2" s="1"/>
  <c r="AK24" i="2" s="1"/>
  <c r="AJ32" i="2"/>
  <c r="AK25" i="2" l="1"/>
  <c r="AK33" i="2" s="1"/>
  <c r="AK26" i="2" l="1"/>
  <c r="AK32" i="2" s="1"/>
  <c r="AK40" i="2" l="1"/>
  <c r="AL23" i="2" s="1"/>
  <c r="AL24" i="2" s="1"/>
  <c r="AK27" i="2"/>
  <c r="AL25" i="2" l="1"/>
  <c r="AL33" i="2" s="1"/>
  <c r="AL26" i="2" l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AO32" i="2" s="1"/>
  <c r="AO33" i="2" s="1"/>
  <c r="AO34" i="2" s="1"/>
  <c r="AL40" i="2" l="1"/>
  <c r="AL32" i="2"/>
  <c r="A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R16" authorId="0" shapeId="0" xr:uid="{DE2CB959-396E-4E79-97A0-2198B576E1E6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$3,60B - $3,65B</t>
        </r>
      </text>
    </comment>
    <comment ref="AC16" authorId="0" shapeId="0" xr:uid="{CFD5918C-98B4-41F4-AC21-685E81C10F4C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$15,2B - $15,4B</t>
        </r>
      </text>
    </comment>
  </commentList>
</comments>
</file>

<file path=xl/sharedStrings.xml><?xml version="1.0" encoding="utf-8"?>
<sst xmlns="http://schemas.openxmlformats.org/spreadsheetml/2006/main" count="122" uniqueCount="107">
  <si>
    <t>Price</t>
  </si>
  <si>
    <t>Shares</t>
  </si>
  <si>
    <t>MC</t>
  </si>
  <si>
    <t>Cash</t>
  </si>
  <si>
    <t>Debt</t>
  </si>
  <si>
    <t>EV</t>
  </si>
  <si>
    <t>Revenue</t>
  </si>
  <si>
    <t>Active accounts</t>
  </si>
  <si>
    <t>Number Payment transactions</t>
  </si>
  <si>
    <t>Payment transactions per account</t>
  </si>
  <si>
    <t>Q122</t>
  </si>
  <si>
    <t>Q222</t>
  </si>
  <si>
    <t>Q322</t>
  </si>
  <si>
    <t>Q422</t>
  </si>
  <si>
    <t>Q123</t>
  </si>
  <si>
    <t>Q223</t>
  </si>
  <si>
    <t>Q323</t>
  </si>
  <si>
    <t>Q423</t>
  </si>
  <si>
    <t>U.S. Revenues</t>
  </si>
  <si>
    <t>International revenues</t>
  </si>
  <si>
    <t>Transaction expense</t>
  </si>
  <si>
    <t>Transaction &amp; credit losses</t>
  </si>
  <si>
    <t>Customer support</t>
  </si>
  <si>
    <t>S&amp;M</t>
  </si>
  <si>
    <t>R&amp;D</t>
  </si>
  <si>
    <t>G&amp;A</t>
  </si>
  <si>
    <t>Operating expense</t>
  </si>
  <si>
    <t>Operating income</t>
  </si>
  <si>
    <t>Interest income (expense)</t>
  </si>
  <si>
    <t>Pretax income</t>
  </si>
  <si>
    <t>Taxes</t>
  </si>
  <si>
    <t>Net income</t>
  </si>
  <si>
    <t>EPS</t>
  </si>
  <si>
    <t>Q124</t>
  </si>
  <si>
    <t>Q224</t>
  </si>
  <si>
    <t>Q324</t>
  </si>
  <si>
    <t>Q424</t>
  </si>
  <si>
    <t>Q121</t>
  </si>
  <si>
    <t>Q221</t>
  </si>
  <si>
    <t>Q321</t>
  </si>
  <si>
    <t>Q421</t>
  </si>
  <si>
    <t>Net cash</t>
  </si>
  <si>
    <t>A/R</t>
  </si>
  <si>
    <t>Prepaid</t>
  </si>
  <si>
    <t>PP&amp;E</t>
  </si>
  <si>
    <t>Goodwill</t>
  </si>
  <si>
    <t>Other</t>
  </si>
  <si>
    <t>Total assets</t>
  </si>
  <si>
    <t>A/P</t>
  </si>
  <si>
    <t>Accrued expense</t>
  </si>
  <si>
    <t>DT</t>
  </si>
  <si>
    <t>Total liabilties</t>
  </si>
  <si>
    <t>S/E</t>
  </si>
  <si>
    <t>L+S/E</t>
  </si>
  <si>
    <t>Operating margin</t>
  </si>
  <si>
    <t>Net margin</t>
  </si>
  <si>
    <t>Taxe rate</t>
  </si>
  <si>
    <t>Revenue y/y</t>
  </si>
  <si>
    <t>S&amp;M y/y</t>
  </si>
  <si>
    <t>R&amp;D y/y</t>
  </si>
  <si>
    <t>G&amp;A y/y</t>
  </si>
  <si>
    <t>Model IN</t>
  </si>
  <si>
    <t>Reported IN</t>
  </si>
  <si>
    <t>D&amp;A</t>
  </si>
  <si>
    <t>SBC</t>
  </si>
  <si>
    <t>Investments</t>
  </si>
  <si>
    <t>Working capital</t>
  </si>
  <si>
    <t>CFFO</t>
  </si>
  <si>
    <t>CapEx</t>
  </si>
  <si>
    <t>Loans receivables</t>
  </si>
  <si>
    <t>Loans</t>
  </si>
  <si>
    <t>CFFI</t>
  </si>
  <si>
    <t>Funds receivable</t>
  </si>
  <si>
    <t>Collateral</t>
  </si>
  <si>
    <t>CFFF</t>
  </si>
  <si>
    <t>FX</t>
  </si>
  <si>
    <t>CIC</t>
  </si>
  <si>
    <t>FCF</t>
  </si>
  <si>
    <t>Divestiture</t>
  </si>
  <si>
    <t>Q125</t>
  </si>
  <si>
    <t>Q225</t>
  </si>
  <si>
    <t>Q325</t>
  </si>
  <si>
    <t>Q425</t>
  </si>
  <si>
    <t>Funds</t>
  </si>
  <si>
    <t>Credit losses</t>
  </si>
  <si>
    <t>Strategic</t>
  </si>
  <si>
    <t>Discount on investments</t>
  </si>
  <si>
    <t>Loan adjustments</t>
  </si>
  <si>
    <t>Issuance</t>
  </si>
  <si>
    <t>Buyback</t>
  </si>
  <si>
    <t>Tax withholdings</t>
  </si>
  <si>
    <t>Finance arrangements</t>
  </si>
  <si>
    <t>Customer funds</t>
  </si>
  <si>
    <t>TTM</t>
  </si>
  <si>
    <t>Terminal</t>
  </si>
  <si>
    <t>Discount</t>
  </si>
  <si>
    <t>NPV</t>
  </si>
  <si>
    <t>TPV</t>
  </si>
  <si>
    <t>Upside</t>
  </si>
  <si>
    <t>Transaction margin</t>
  </si>
  <si>
    <t>TPV y/y</t>
  </si>
  <si>
    <t>Branded checkout ( 30% of TPV)</t>
  </si>
  <si>
    <t>PSP unbranded card processing (35% of TPV)</t>
  </si>
  <si>
    <t>Venmo (17% of TPV)</t>
  </si>
  <si>
    <t>P2P ex-Venmo (8% of TPV)</t>
  </si>
  <si>
    <t>CEO</t>
  </si>
  <si>
    <t>Alex Chriss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</si>
</sst>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0</xdr:rowOff>
    </xdr:from>
    <xdr:to>
      <xdr:col>18</xdr:col>
      <xdr:colOff>28575</xdr:colOff>
      <xdr:row>95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DE3559-954F-86D3-AE50-F5052E350D8B}"/>
            </a:ext>
          </a:extLst>
        </xdr:cNvPr>
        <xdr:cNvCxnSpPr/>
      </xdr:nvCxnSpPr>
      <xdr:spPr>
        <a:xfrm>
          <a:off x="13268325" y="0"/>
          <a:ext cx="0" cy="15697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94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42D2EF-7BB2-46DF-AAEA-F4830300617C}"/>
            </a:ext>
          </a:extLst>
        </xdr:cNvPr>
        <xdr:cNvCxnSpPr/>
      </xdr:nvCxnSpPr>
      <xdr:spPr>
        <a:xfrm>
          <a:off x="18697575" y="0"/>
          <a:ext cx="0" cy="14725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09A2-39C8-466B-9729-DCC597779F4B}">
  <dimension ref="B2:L11"/>
  <sheetViews>
    <sheetView tabSelected="1" workbookViewId="0">
      <selection activeCell="I18" sqref="I18"/>
    </sheetView>
  </sheetViews>
  <sheetFormatPr defaultRowHeight="12.75" x14ac:dyDescent="0.2"/>
  <cols>
    <col min="1" max="1" width="2.42578125" customWidth="1"/>
  </cols>
  <sheetData>
    <row r="2" spans="2:12" x14ac:dyDescent="0.2">
      <c r="B2" t="s">
        <v>101</v>
      </c>
      <c r="J2" t="s">
        <v>0</v>
      </c>
      <c r="K2" s="3">
        <v>66</v>
      </c>
    </row>
    <row r="3" spans="2:12" x14ac:dyDescent="0.2">
      <c r="B3" t="s">
        <v>102</v>
      </c>
      <c r="J3" t="s">
        <v>1</v>
      </c>
      <c r="K3" s="1">
        <f>+Model!R28</f>
        <v>999</v>
      </c>
      <c r="L3" s="2" t="s">
        <v>79</v>
      </c>
    </row>
    <row r="4" spans="2:12" x14ac:dyDescent="0.2">
      <c r="B4" t="s">
        <v>103</v>
      </c>
      <c r="J4" t="s">
        <v>2</v>
      </c>
      <c r="K4" s="1">
        <f>+K2*K3</f>
        <v>65934</v>
      </c>
      <c r="L4" s="2"/>
    </row>
    <row r="5" spans="2:12" x14ac:dyDescent="0.2">
      <c r="B5" t="s">
        <v>104</v>
      </c>
      <c r="J5" t="s">
        <v>3</v>
      </c>
      <c r="K5" s="1">
        <f>+Model!R41</f>
        <v>15824</v>
      </c>
      <c r="L5" s="2" t="s">
        <v>79</v>
      </c>
    </row>
    <row r="6" spans="2:12" x14ac:dyDescent="0.2">
      <c r="I6" s="1"/>
      <c r="J6" t="s">
        <v>4</v>
      </c>
      <c r="K6" s="1">
        <f>+Model!R54</f>
        <v>11417</v>
      </c>
      <c r="L6" s="2" t="s">
        <v>79</v>
      </c>
    </row>
    <row r="7" spans="2:12" x14ac:dyDescent="0.2">
      <c r="J7" t="s">
        <v>5</v>
      </c>
      <c r="K7" s="1">
        <f>+K4-K5+K6</f>
        <v>61527</v>
      </c>
    </row>
    <row r="8" spans="2:12" x14ac:dyDescent="0.2">
      <c r="K8" s="1">
        <v>5971</v>
      </c>
    </row>
    <row r="9" spans="2:12" x14ac:dyDescent="0.2">
      <c r="K9" s="6">
        <f>+K7/K8</f>
        <v>10.304304136660527</v>
      </c>
    </row>
    <row r="11" spans="2:12" x14ac:dyDescent="0.2">
      <c r="J11" t="s">
        <v>105</v>
      </c>
      <c r="K1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AC5-8A2F-4366-88CC-76813F752FAF}">
  <dimension ref="A1:EI95"/>
  <sheetViews>
    <sheetView workbookViewId="0">
      <pane xSplit="1" ySplit="2" topLeftCell="V3" activePane="bottomRight" state="frozen"/>
      <selection pane="topRight" activeCell="B1" sqref="B1"/>
      <selection pane="bottomLeft" activeCell="A4" sqref="A4"/>
      <selection pane="bottomRight" activeCell="AB7" sqref="AB7"/>
    </sheetView>
  </sheetViews>
  <sheetFormatPr defaultRowHeight="12.75" x14ac:dyDescent="0.2"/>
  <cols>
    <col min="1" max="1" width="30.140625" bestFit="1" customWidth="1"/>
    <col min="2" max="14" width="10.140625" style="1" bestFit="1" customWidth="1"/>
    <col min="15" max="22" width="9.140625" style="1"/>
    <col min="24" max="24" width="8.5703125" style="1" customWidth="1"/>
    <col min="25" max="25" width="9" style="1" customWidth="1"/>
    <col min="26" max="38" width="9.140625" style="1"/>
    <col min="41" max="41" width="10.7109375" bestFit="1" customWidth="1"/>
  </cols>
  <sheetData>
    <row r="1" spans="1:38" s="9" customFormat="1" x14ac:dyDescent="0.2">
      <c r="B1" s="9">
        <v>44286</v>
      </c>
      <c r="C1" s="9">
        <v>44377</v>
      </c>
      <c r="D1" s="9">
        <v>44469</v>
      </c>
      <c r="E1" s="9">
        <v>44561</v>
      </c>
      <c r="F1" s="9">
        <v>44651</v>
      </c>
      <c r="G1" s="9">
        <v>44742</v>
      </c>
      <c r="H1" s="9">
        <v>44834</v>
      </c>
      <c r="I1" s="9">
        <v>44926</v>
      </c>
      <c r="J1" s="9">
        <v>45016</v>
      </c>
      <c r="K1" s="9">
        <v>45107</v>
      </c>
      <c r="L1" s="9">
        <v>45199</v>
      </c>
      <c r="M1" s="9">
        <v>45291</v>
      </c>
      <c r="N1" s="9">
        <v>45382</v>
      </c>
      <c r="O1" s="9">
        <v>45473</v>
      </c>
      <c r="P1" s="9">
        <v>45565</v>
      </c>
      <c r="Q1" s="9">
        <v>45657</v>
      </c>
      <c r="R1" s="9">
        <v>45747</v>
      </c>
    </row>
    <row r="2" spans="1:38" x14ac:dyDescent="0.2">
      <c r="B2" s="2" t="s">
        <v>37</v>
      </c>
      <c r="C2" s="2" t="s">
        <v>38</v>
      </c>
      <c r="D2" s="2" t="s">
        <v>39</v>
      </c>
      <c r="E2" s="2" t="s">
        <v>40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79</v>
      </c>
      <c r="S2" s="2" t="s">
        <v>80</v>
      </c>
      <c r="T2" s="2" t="s">
        <v>81</v>
      </c>
      <c r="U2" s="2" t="s">
        <v>82</v>
      </c>
      <c r="V2" s="2"/>
      <c r="X2">
        <v>2020</v>
      </c>
      <c r="Y2">
        <f>+X2+1</f>
        <v>2021</v>
      </c>
      <c r="Z2">
        <f t="shared" ref="Z2:AL2" si="0">+Y2+1</f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  <c r="AJ2">
        <f t="shared" si="0"/>
        <v>2032</v>
      </c>
      <c r="AK2">
        <f t="shared" si="0"/>
        <v>2033</v>
      </c>
      <c r="AL2">
        <f t="shared" si="0"/>
        <v>2034</v>
      </c>
    </row>
    <row r="3" spans="1:38" s="1" customFormat="1" x14ac:dyDescent="0.2">
      <c r="A3" s="1" t="s">
        <v>97</v>
      </c>
      <c r="B3" s="1">
        <v>285000</v>
      </c>
      <c r="C3" s="1">
        <v>311000</v>
      </c>
      <c r="D3" s="1">
        <v>310000</v>
      </c>
      <c r="E3" s="1">
        <v>340000</v>
      </c>
      <c r="F3" s="11">
        <v>323000</v>
      </c>
      <c r="G3" s="11">
        <v>340000</v>
      </c>
      <c r="H3" s="11">
        <v>337000</v>
      </c>
      <c r="I3" s="11">
        <v>357000</v>
      </c>
      <c r="J3" s="11">
        <v>355000</v>
      </c>
      <c r="K3" s="11">
        <v>377000</v>
      </c>
      <c r="L3" s="11">
        <v>388000</v>
      </c>
      <c r="M3" s="11">
        <v>409832</v>
      </c>
      <c r="N3" s="11">
        <v>403860</v>
      </c>
      <c r="O3" s="11">
        <v>416814</v>
      </c>
      <c r="P3" s="11">
        <v>422641</v>
      </c>
      <c r="Q3" s="11">
        <v>437836</v>
      </c>
      <c r="R3" s="11">
        <v>417208</v>
      </c>
      <c r="S3" s="11"/>
      <c r="T3" s="11"/>
      <c r="U3" s="11"/>
      <c r="V3" s="11"/>
      <c r="Y3" s="1">
        <f>+SUM(B3:E3)</f>
        <v>1246000</v>
      </c>
      <c r="Z3" s="1">
        <f>+SUM(F3:I3)</f>
        <v>1357000</v>
      </c>
      <c r="AA3" s="1">
        <v>1528579</v>
      </c>
      <c r="AB3" s="1">
        <f>+SUM(N3:Q3)</f>
        <v>1681151</v>
      </c>
    </row>
    <row r="4" spans="1:38" s="7" customFormat="1" x14ac:dyDescent="0.2">
      <c r="A4" s="7" t="s">
        <v>100</v>
      </c>
      <c r="F4" s="12">
        <f t="shared" ref="F4:P4" si="1">+F3/B3-1</f>
        <v>0.1333333333333333</v>
      </c>
      <c r="G4" s="12">
        <f t="shared" si="1"/>
        <v>9.3247588424437255E-2</v>
      </c>
      <c r="H4" s="12">
        <f t="shared" si="1"/>
        <v>8.7096774193548443E-2</v>
      </c>
      <c r="I4" s="12">
        <f t="shared" si="1"/>
        <v>5.0000000000000044E-2</v>
      </c>
      <c r="J4" s="12">
        <f t="shared" si="1"/>
        <v>9.9071207430340591E-2</v>
      </c>
      <c r="K4" s="12">
        <f t="shared" si="1"/>
        <v>0.10882352941176476</v>
      </c>
      <c r="L4" s="12">
        <f t="shared" si="1"/>
        <v>0.1513353115727003</v>
      </c>
      <c r="M4" s="12">
        <f t="shared" si="1"/>
        <v>0.14798879551820732</v>
      </c>
      <c r="N4" s="12">
        <f t="shared" si="1"/>
        <v>0.13763380281690152</v>
      </c>
      <c r="O4" s="12">
        <f t="shared" si="1"/>
        <v>0.10560742705570281</v>
      </c>
      <c r="P4" s="12">
        <f t="shared" si="1"/>
        <v>8.9280927835051482E-2</v>
      </c>
      <c r="Q4" s="12">
        <f>+Q3/M3-1</f>
        <v>6.8330437837943458E-2</v>
      </c>
      <c r="R4" s="12">
        <f>+R3/N3-1</f>
        <v>3.3051057297083242E-2</v>
      </c>
      <c r="S4" s="12"/>
      <c r="T4" s="12"/>
      <c r="U4" s="12"/>
      <c r="V4" s="12"/>
      <c r="Z4" s="7">
        <f t="shared" ref="Z4:AA4" si="2">+Z3/Y3-1</f>
        <v>8.9085072231139595E-2</v>
      </c>
      <c r="AA4" s="7">
        <f t="shared" si="2"/>
        <v>0.12643994104642586</v>
      </c>
      <c r="AB4" s="7">
        <f>+AB3/AA3-1</f>
        <v>9.9812963543264743E-2</v>
      </c>
    </row>
    <row r="5" spans="1:38" x14ac:dyDescent="0.2">
      <c r="B5"/>
      <c r="C5"/>
      <c r="D5"/>
      <c r="E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">
      <c r="A6" t="s">
        <v>7</v>
      </c>
      <c r="B6" s="1">
        <v>392</v>
      </c>
      <c r="C6" s="1">
        <v>403</v>
      </c>
      <c r="D6" s="1">
        <v>416</v>
      </c>
      <c r="E6" s="1">
        <v>426</v>
      </c>
      <c r="F6" s="1">
        <v>429</v>
      </c>
      <c r="G6" s="1">
        <v>429</v>
      </c>
      <c r="H6" s="1">
        <v>432</v>
      </c>
      <c r="I6" s="1">
        <v>435</v>
      </c>
      <c r="J6" s="1">
        <v>433</v>
      </c>
      <c r="K6" s="1">
        <v>431</v>
      </c>
      <c r="L6" s="1">
        <v>428</v>
      </c>
      <c r="M6" s="1">
        <v>426</v>
      </c>
      <c r="N6" s="1">
        <v>427</v>
      </c>
      <c r="O6" s="1">
        <v>429</v>
      </c>
      <c r="P6" s="1">
        <v>432</v>
      </c>
      <c r="Q6" s="1">
        <v>434</v>
      </c>
      <c r="R6" s="1">
        <v>436</v>
      </c>
      <c r="AB6" s="1">
        <f>+SUM(N6:Q6)</f>
        <v>1722</v>
      </c>
    </row>
    <row r="7" spans="1:38" x14ac:dyDescent="0.2">
      <c r="A7" t="s">
        <v>8</v>
      </c>
      <c r="B7" s="1">
        <v>4371</v>
      </c>
      <c r="C7" s="1">
        <v>4735</v>
      </c>
      <c r="D7" s="1">
        <v>4900</v>
      </c>
      <c r="E7" s="1">
        <v>5343</v>
      </c>
      <c r="F7" s="1">
        <v>5161</v>
      </c>
      <c r="G7" s="1">
        <v>5513</v>
      </c>
      <c r="H7" s="1">
        <v>5643</v>
      </c>
      <c r="I7" s="1">
        <v>6032</v>
      </c>
      <c r="J7" s="1">
        <v>5835</v>
      </c>
      <c r="K7" s="1">
        <v>6074</v>
      </c>
      <c r="L7" s="1">
        <v>6275</v>
      </c>
      <c r="M7" s="1">
        <v>6798</v>
      </c>
      <c r="N7" s="1">
        <v>6505</v>
      </c>
      <c r="O7" s="1">
        <v>6580</v>
      </c>
      <c r="P7" s="1">
        <v>6631</v>
      </c>
      <c r="Q7" s="1">
        <v>6619</v>
      </c>
      <c r="R7" s="1">
        <v>6045</v>
      </c>
      <c r="AB7" s="1">
        <f>+SUM(N7:Q7)</f>
        <v>26335</v>
      </c>
    </row>
    <row r="8" spans="1:38" s="10" customFormat="1" x14ac:dyDescent="0.2">
      <c r="A8" s="10" t="s">
        <v>9</v>
      </c>
      <c r="B8" s="10">
        <v>42.2</v>
      </c>
      <c r="C8" s="10">
        <v>43.5</v>
      </c>
      <c r="D8" s="10">
        <v>44.2</v>
      </c>
      <c r="E8" s="10">
        <v>45.4</v>
      </c>
      <c r="F8" s="10">
        <v>47</v>
      </c>
      <c r="G8" s="10">
        <v>48.7</v>
      </c>
      <c r="H8" s="10">
        <v>50.1</v>
      </c>
      <c r="I8" s="10">
        <v>51.4</v>
      </c>
      <c r="J8" s="10">
        <v>53.1</v>
      </c>
      <c r="K8" s="10">
        <v>54.7</v>
      </c>
      <c r="L8" s="10">
        <v>56.6</v>
      </c>
      <c r="M8" s="10">
        <v>58.7</v>
      </c>
      <c r="N8" s="10">
        <v>60</v>
      </c>
      <c r="O8" s="10">
        <v>60.9</v>
      </c>
      <c r="P8" s="10">
        <v>61.4</v>
      </c>
      <c r="Q8" s="10">
        <v>60.6</v>
      </c>
      <c r="R8" s="10">
        <v>59.4</v>
      </c>
    </row>
    <row r="10" spans="1:38" x14ac:dyDescent="0.2">
      <c r="A10" t="s">
        <v>18</v>
      </c>
      <c r="B10" s="1">
        <v>3063</v>
      </c>
      <c r="C10" s="1">
        <v>3272</v>
      </c>
      <c r="D10" s="1">
        <v>3476</v>
      </c>
      <c r="E10" s="1">
        <v>3901</v>
      </c>
      <c r="F10" s="1">
        <v>3671</v>
      </c>
      <c r="G10" s="1">
        <v>3863</v>
      </c>
      <c r="H10" s="1">
        <v>3978</v>
      </c>
      <c r="I10" s="1">
        <v>4295</v>
      </c>
      <c r="J10" s="1">
        <v>4147</v>
      </c>
      <c r="K10" s="1">
        <v>4210</v>
      </c>
      <c r="L10" s="1">
        <v>4257</v>
      </c>
      <c r="M10" s="1">
        <v>4639</v>
      </c>
      <c r="N10" s="1">
        <v>4467</v>
      </c>
      <c r="O10" s="1">
        <v>4550</v>
      </c>
      <c r="P10" s="1">
        <v>4518</v>
      </c>
      <c r="Q10" s="1">
        <v>4732</v>
      </c>
      <c r="R10" s="1">
        <v>4463</v>
      </c>
    </row>
    <row r="11" spans="1:38" x14ac:dyDescent="0.2">
      <c r="A11" t="s">
        <v>19</v>
      </c>
      <c r="B11" s="1">
        <v>2970</v>
      </c>
      <c r="C11" s="1">
        <v>2966</v>
      </c>
      <c r="D11" s="1">
        <v>2706</v>
      </c>
      <c r="E11" s="1">
        <v>3017</v>
      </c>
      <c r="F11" s="1">
        <v>2812</v>
      </c>
      <c r="G11" s="1">
        <v>2943</v>
      </c>
      <c r="H11" s="1">
        <v>2868</v>
      </c>
      <c r="I11" s="1">
        <v>3088</v>
      </c>
      <c r="J11" s="1">
        <v>2893</v>
      </c>
      <c r="K11" s="1">
        <v>3077</v>
      </c>
      <c r="L11" s="1">
        <v>3161</v>
      </c>
      <c r="M11" s="1">
        <v>3387</v>
      </c>
      <c r="N11" s="1">
        <v>3232</v>
      </c>
      <c r="O11" s="1">
        <v>3335</v>
      </c>
      <c r="P11" s="1">
        <v>3329</v>
      </c>
      <c r="Q11" s="1">
        <v>3634</v>
      </c>
      <c r="R11" s="1">
        <v>3328</v>
      </c>
    </row>
    <row r="13" spans="1:38" s="4" customFormat="1" x14ac:dyDescent="0.2">
      <c r="A13" s="4" t="s">
        <v>6</v>
      </c>
      <c r="B13" s="5">
        <v>6033</v>
      </c>
      <c r="C13" s="5">
        <v>6238</v>
      </c>
      <c r="D13" s="5">
        <v>6182</v>
      </c>
      <c r="E13" s="5">
        <v>6918</v>
      </c>
      <c r="F13" s="5">
        <v>6483</v>
      </c>
      <c r="G13" s="5">
        <v>6806</v>
      </c>
      <c r="H13" s="5">
        <v>6846</v>
      </c>
      <c r="I13" s="5">
        <v>7383</v>
      </c>
      <c r="J13" s="5">
        <v>7040</v>
      </c>
      <c r="K13" s="5">
        <v>7287</v>
      </c>
      <c r="L13" s="5">
        <v>7418</v>
      </c>
      <c r="M13" s="5">
        <v>8026</v>
      </c>
      <c r="N13" s="5">
        <v>7699</v>
      </c>
      <c r="O13" s="5">
        <v>7885</v>
      </c>
      <c r="P13" s="5">
        <v>7847</v>
      </c>
      <c r="Q13" s="5">
        <f>+AB13-SUM(N13:P13)</f>
        <v>8366</v>
      </c>
      <c r="R13" s="5">
        <v>7791</v>
      </c>
      <c r="S13" s="5"/>
      <c r="T13" s="5"/>
      <c r="U13" s="5"/>
      <c r="V13" s="5"/>
      <c r="W13" s="8"/>
      <c r="X13" s="5">
        <v>21454</v>
      </c>
      <c r="Y13" s="5">
        <v>25371</v>
      </c>
      <c r="Z13" s="5">
        <v>27518</v>
      </c>
      <c r="AA13" s="5">
        <v>29771</v>
      </c>
      <c r="AB13" s="5">
        <v>31797</v>
      </c>
      <c r="AC13" s="5">
        <f>+AB13*1.05</f>
        <v>33386.85</v>
      </c>
      <c r="AD13" s="5">
        <f t="shared" ref="AD13:AE13" si="3">+AC13*1.05</f>
        <v>35056.192499999997</v>
      </c>
      <c r="AE13" s="5">
        <f t="shared" si="3"/>
        <v>36809.002124999999</v>
      </c>
      <c r="AF13" s="5">
        <f>+AE13*1.03</f>
        <v>37913.272188750001</v>
      </c>
      <c r="AG13" s="5">
        <f t="shared" ref="AG13:AL13" si="4">+AF13*1.03</f>
        <v>39050.670354412505</v>
      </c>
      <c r="AH13" s="5">
        <f t="shared" si="4"/>
        <v>40222.190465044878</v>
      </c>
      <c r="AI13" s="5">
        <f t="shared" si="4"/>
        <v>41428.856178996226</v>
      </c>
      <c r="AJ13" s="5">
        <f t="shared" si="4"/>
        <v>42671.721864366111</v>
      </c>
      <c r="AK13" s="5">
        <f t="shared" si="4"/>
        <v>43951.873520297093</v>
      </c>
      <c r="AL13" s="5">
        <f t="shared" si="4"/>
        <v>45270.429725906004</v>
      </c>
    </row>
    <row r="14" spans="1:38" x14ac:dyDescent="0.2">
      <c r="A14" t="s">
        <v>20</v>
      </c>
      <c r="B14" s="1">
        <v>2275</v>
      </c>
      <c r="C14" s="1">
        <v>2524</v>
      </c>
      <c r="D14" s="1">
        <v>2564</v>
      </c>
      <c r="E14" s="1">
        <v>2952</v>
      </c>
      <c r="F14" s="1">
        <v>2817</v>
      </c>
      <c r="G14" s="1">
        <v>3044</v>
      </c>
      <c r="H14" s="1">
        <v>2988</v>
      </c>
      <c r="I14" s="1">
        <v>3324</v>
      </c>
      <c r="J14" s="1">
        <v>3283</v>
      </c>
      <c r="K14" s="1">
        <v>3541</v>
      </c>
      <c r="L14" s="1">
        <v>3603</v>
      </c>
      <c r="M14" s="1">
        <v>3958</v>
      </c>
      <c r="N14" s="1">
        <v>3917</v>
      </c>
      <c r="O14" s="1">
        <v>3942</v>
      </c>
      <c r="P14" s="1">
        <v>3841</v>
      </c>
      <c r="Q14" s="1">
        <f>+AB14-SUM(N14:P14)</f>
        <v>3997</v>
      </c>
      <c r="R14" s="1">
        <v>3704</v>
      </c>
      <c r="W14" s="8"/>
      <c r="X14" s="1">
        <v>7934</v>
      </c>
      <c r="Y14" s="1">
        <v>10315</v>
      </c>
      <c r="Z14" s="1">
        <v>12173</v>
      </c>
      <c r="AA14" s="1">
        <v>14385</v>
      </c>
      <c r="AB14" s="1">
        <v>15697</v>
      </c>
      <c r="AC14" s="1">
        <f>+AC13*0.5</f>
        <v>16693.424999999999</v>
      </c>
      <c r="AD14" s="1">
        <f t="shared" ref="AD14:AE14" si="5">+AD13*0.5</f>
        <v>17528.096249999999</v>
      </c>
      <c r="AE14" s="1">
        <f t="shared" si="5"/>
        <v>18404.5010625</v>
      </c>
      <c r="AF14" s="1">
        <f>+AF13*0.51</f>
        <v>19335.768816262502</v>
      </c>
      <c r="AG14" s="1">
        <f t="shared" ref="AG14:AH14" si="6">+AG13*0.51</f>
        <v>19915.841880750377</v>
      </c>
      <c r="AH14" s="1">
        <f t="shared" si="6"/>
        <v>20513.317137172889</v>
      </c>
      <c r="AI14" s="1">
        <f>+AI13*0.52</f>
        <v>21543.005213078039</v>
      </c>
      <c r="AJ14" s="1">
        <f t="shared" ref="AJ14:AL14" si="7">+AJ13*0.52</f>
        <v>22189.295369470379</v>
      </c>
      <c r="AK14" s="1">
        <f t="shared" si="7"/>
        <v>22854.97423055449</v>
      </c>
      <c r="AL14" s="1">
        <f t="shared" si="7"/>
        <v>23540.623457471123</v>
      </c>
    </row>
    <row r="15" spans="1:38" x14ac:dyDescent="0.2">
      <c r="A15" t="s">
        <v>21</v>
      </c>
      <c r="B15" s="1">
        <v>273</v>
      </c>
      <c r="C15" s="1">
        <v>169</v>
      </c>
      <c r="D15" s="1">
        <v>268</v>
      </c>
      <c r="E15" s="1">
        <v>350</v>
      </c>
      <c r="F15" s="1">
        <v>369</v>
      </c>
      <c r="G15" s="1">
        <v>448</v>
      </c>
      <c r="H15" s="1">
        <v>367</v>
      </c>
      <c r="I15" s="1">
        <v>388</v>
      </c>
      <c r="J15" s="1">
        <v>442</v>
      </c>
      <c r="K15" s="1">
        <v>398</v>
      </c>
      <c r="L15" s="1">
        <v>446</v>
      </c>
      <c r="M15" s="1">
        <v>396</v>
      </c>
      <c r="N15" s="1">
        <v>321</v>
      </c>
      <c r="O15" s="1">
        <v>335</v>
      </c>
      <c r="P15" s="1">
        <v>352</v>
      </c>
      <c r="Q15" s="1">
        <f t="shared" ref="Q15:Q20" si="8">+AB15-SUM(N15:P15)</f>
        <v>434</v>
      </c>
      <c r="R15" s="1">
        <v>371</v>
      </c>
      <c r="W15" s="8"/>
      <c r="X15" s="1">
        <v>1741</v>
      </c>
      <c r="Y15" s="1">
        <v>1060</v>
      </c>
      <c r="Z15" s="1">
        <v>1572</v>
      </c>
      <c r="AA15" s="1">
        <v>1682</v>
      </c>
      <c r="AB15" s="1">
        <v>1442</v>
      </c>
      <c r="AC15" s="1">
        <f>+AB15*0.99</f>
        <v>1427.58</v>
      </c>
      <c r="AD15" s="1">
        <f t="shared" ref="AD15:AL15" si="9">+AC15*0.99</f>
        <v>1413.3041999999998</v>
      </c>
      <c r="AE15" s="1">
        <f t="shared" si="9"/>
        <v>1399.1711579999999</v>
      </c>
      <c r="AF15" s="1">
        <f t="shared" si="9"/>
        <v>1385.17944642</v>
      </c>
      <c r="AG15" s="1">
        <f t="shared" si="9"/>
        <v>1371.3276519557999</v>
      </c>
      <c r="AH15" s="1">
        <f t="shared" si="9"/>
        <v>1357.6143754362417</v>
      </c>
      <c r="AI15" s="1">
        <f t="shared" si="9"/>
        <v>1344.0382316818793</v>
      </c>
      <c r="AJ15" s="1">
        <f t="shared" si="9"/>
        <v>1330.5978493650605</v>
      </c>
      <c r="AK15" s="1">
        <f t="shared" si="9"/>
        <v>1317.2918708714099</v>
      </c>
      <c r="AL15" s="1">
        <f t="shared" si="9"/>
        <v>1304.1189521626957</v>
      </c>
    </row>
    <row r="16" spans="1:38" s="4" customFormat="1" x14ac:dyDescent="0.2">
      <c r="A16" s="4" t="s">
        <v>99</v>
      </c>
      <c r="B16" s="5">
        <f t="shared" ref="B16:P16" si="10">+B13-SUM(B14:B15)</f>
        <v>3485</v>
      </c>
      <c r="C16" s="5">
        <f t="shared" si="10"/>
        <v>3545</v>
      </c>
      <c r="D16" s="5">
        <f t="shared" si="10"/>
        <v>3350</v>
      </c>
      <c r="E16" s="5">
        <f t="shared" si="10"/>
        <v>3616</v>
      </c>
      <c r="F16" s="5">
        <f t="shared" si="10"/>
        <v>3297</v>
      </c>
      <c r="G16" s="5">
        <f t="shared" si="10"/>
        <v>3314</v>
      </c>
      <c r="H16" s="5">
        <f t="shared" si="10"/>
        <v>3491</v>
      </c>
      <c r="I16" s="5">
        <f t="shared" si="10"/>
        <v>3671</v>
      </c>
      <c r="J16" s="5">
        <f t="shared" si="10"/>
        <v>3315</v>
      </c>
      <c r="K16" s="5">
        <f t="shared" si="10"/>
        <v>3348</v>
      </c>
      <c r="L16" s="5">
        <f t="shared" si="10"/>
        <v>3369</v>
      </c>
      <c r="M16" s="5">
        <f t="shared" si="10"/>
        <v>3672</v>
      </c>
      <c r="N16" s="5">
        <f t="shared" si="10"/>
        <v>3461</v>
      </c>
      <c r="O16" s="5">
        <f t="shared" si="10"/>
        <v>3608</v>
      </c>
      <c r="P16" s="5">
        <f t="shared" si="10"/>
        <v>3654</v>
      </c>
      <c r="Q16" s="5">
        <f>+Q13-SUM(Q14:Q15)</f>
        <v>3935</v>
      </c>
      <c r="R16" s="5">
        <f>+R13-SUM(R14:R15)</f>
        <v>3716</v>
      </c>
      <c r="S16" s="5"/>
      <c r="T16" s="5"/>
      <c r="U16" s="5"/>
      <c r="V16" s="5"/>
      <c r="W16" s="8"/>
      <c r="X16" s="5">
        <f t="shared" ref="X16:AL16" si="11">+X13-SUM(X14:X15)</f>
        <v>11779</v>
      </c>
      <c r="Y16" s="5">
        <f t="shared" si="11"/>
        <v>13996</v>
      </c>
      <c r="Z16" s="5">
        <f t="shared" si="11"/>
        <v>13773</v>
      </c>
      <c r="AA16" s="5">
        <f t="shared" si="11"/>
        <v>13704</v>
      </c>
      <c r="AB16" s="5">
        <f t="shared" si="11"/>
        <v>14658</v>
      </c>
      <c r="AC16" s="5">
        <f t="shared" si="11"/>
        <v>15265.845000000001</v>
      </c>
      <c r="AD16" s="5">
        <f t="shared" si="11"/>
        <v>16114.79205</v>
      </c>
      <c r="AE16" s="5">
        <f t="shared" si="11"/>
        <v>17005.329904499999</v>
      </c>
      <c r="AF16" s="5">
        <f t="shared" si="11"/>
        <v>17192.3239260675</v>
      </c>
      <c r="AG16" s="5">
        <f t="shared" si="11"/>
        <v>17763.50082170633</v>
      </c>
      <c r="AH16" s="5">
        <f t="shared" si="11"/>
        <v>18351.258952435746</v>
      </c>
      <c r="AI16" s="5">
        <f t="shared" si="11"/>
        <v>18541.812734236308</v>
      </c>
      <c r="AJ16" s="5">
        <f t="shared" si="11"/>
        <v>19151.82864553067</v>
      </c>
      <c r="AK16" s="5">
        <f t="shared" si="11"/>
        <v>19779.607418871194</v>
      </c>
      <c r="AL16" s="5">
        <f t="shared" si="11"/>
        <v>20425.687316272186</v>
      </c>
    </row>
    <row r="17" spans="1:139" x14ac:dyDescent="0.2">
      <c r="A17" t="s">
        <v>22</v>
      </c>
      <c r="B17" s="1">
        <v>518</v>
      </c>
      <c r="C17" s="1">
        <v>521</v>
      </c>
      <c r="D17" s="1">
        <v>504</v>
      </c>
      <c r="E17" s="1">
        <v>532</v>
      </c>
      <c r="F17" s="1">
        <v>534</v>
      </c>
      <c r="G17" s="1">
        <v>536</v>
      </c>
      <c r="H17" s="1">
        <v>509</v>
      </c>
      <c r="I17" s="1">
        <v>541</v>
      </c>
      <c r="J17" s="1">
        <v>488</v>
      </c>
      <c r="K17" s="1">
        <v>492</v>
      </c>
      <c r="L17" s="1">
        <v>474</v>
      </c>
      <c r="M17" s="1">
        <v>465</v>
      </c>
      <c r="N17" s="1">
        <v>454</v>
      </c>
      <c r="O17" s="1">
        <v>436</v>
      </c>
      <c r="P17" s="1">
        <v>427</v>
      </c>
      <c r="Q17" s="1">
        <f t="shared" si="8"/>
        <v>451</v>
      </c>
      <c r="R17" s="1">
        <v>398</v>
      </c>
      <c r="W17" s="8"/>
      <c r="X17" s="1">
        <v>1778</v>
      </c>
      <c r="Y17" s="1">
        <v>2075</v>
      </c>
      <c r="Z17" s="1">
        <v>2120</v>
      </c>
      <c r="AA17" s="1">
        <v>1919</v>
      </c>
      <c r="AB17" s="1">
        <v>1768</v>
      </c>
      <c r="AC17" s="1">
        <f>+AB17*0.98</f>
        <v>1732.6399999999999</v>
      </c>
      <c r="AD17" s="1">
        <f t="shared" ref="AD17:AL17" si="12">+AC17*0.98</f>
        <v>1697.9871999999998</v>
      </c>
      <c r="AE17" s="1">
        <f t="shared" si="12"/>
        <v>1664.0274559999998</v>
      </c>
      <c r="AF17" s="1">
        <f t="shared" si="12"/>
        <v>1630.7469068799999</v>
      </c>
      <c r="AG17" s="1">
        <f t="shared" si="12"/>
        <v>1598.1319687423997</v>
      </c>
      <c r="AH17" s="1">
        <f t="shared" si="12"/>
        <v>1566.1693293675517</v>
      </c>
      <c r="AI17" s="1">
        <f t="shared" si="12"/>
        <v>1534.8459427802006</v>
      </c>
      <c r="AJ17" s="1">
        <f t="shared" si="12"/>
        <v>1504.1490239245966</v>
      </c>
      <c r="AK17" s="1">
        <f t="shared" si="12"/>
        <v>1474.0660434461047</v>
      </c>
      <c r="AL17" s="1">
        <f t="shared" si="12"/>
        <v>1444.5847225771827</v>
      </c>
    </row>
    <row r="18" spans="1:139" x14ac:dyDescent="0.2">
      <c r="A18" t="s">
        <v>23</v>
      </c>
      <c r="B18" s="1">
        <v>602</v>
      </c>
      <c r="C18" s="1">
        <v>628</v>
      </c>
      <c r="D18" s="1">
        <v>549</v>
      </c>
      <c r="E18" s="1">
        <v>666</v>
      </c>
      <c r="F18" s="1">
        <v>594</v>
      </c>
      <c r="G18" s="1">
        <v>595</v>
      </c>
      <c r="H18" s="1">
        <v>544</v>
      </c>
      <c r="I18" s="1">
        <v>524</v>
      </c>
      <c r="J18" s="1">
        <v>436</v>
      </c>
      <c r="K18" s="1">
        <v>465</v>
      </c>
      <c r="L18" s="1">
        <v>442</v>
      </c>
      <c r="M18" s="1">
        <v>466</v>
      </c>
      <c r="N18" s="1">
        <v>421</v>
      </c>
      <c r="O18" s="1">
        <v>446</v>
      </c>
      <c r="P18" s="1">
        <v>508</v>
      </c>
      <c r="Q18" s="1">
        <f t="shared" si="8"/>
        <v>626</v>
      </c>
      <c r="R18" s="1">
        <v>488</v>
      </c>
      <c r="W18" s="8"/>
      <c r="X18" s="1">
        <v>1861</v>
      </c>
      <c r="Y18" s="1">
        <v>2445</v>
      </c>
      <c r="Z18" s="1">
        <v>2257</v>
      </c>
      <c r="AA18" s="1">
        <v>1809</v>
      </c>
      <c r="AB18" s="1">
        <v>2001</v>
      </c>
      <c r="AC18" s="1">
        <f>+AB18*1.03</f>
        <v>2061.0300000000002</v>
      </c>
      <c r="AD18" s="1">
        <f t="shared" ref="AD18:AF18" si="13">+AC18*1.03</f>
        <v>2122.8609000000001</v>
      </c>
      <c r="AE18" s="1">
        <f t="shared" si="13"/>
        <v>2186.5467270000004</v>
      </c>
      <c r="AF18" s="1">
        <f t="shared" si="13"/>
        <v>2252.1431288100002</v>
      </c>
      <c r="AG18" s="1">
        <f t="shared" ref="AG18:AL18" si="14">+AF18*1.02</f>
        <v>2297.1859913862004</v>
      </c>
      <c r="AH18" s="1">
        <f t="shared" si="14"/>
        <v>2343.1297112139246</v>
      </c>
      <c r="AI18" s="1">
        <f t="shared" si="14"/>
        <v>2389.9923054382029</v>
      </c>
      <c r="AJ18" s="1">
        <f t="shared" si="14"/>
        <v>2437.792151546967</v>
      </c>
      <c r="AK18" s="1">
        <f t="shared" si="14"/>
        <v>2486.5479945779066</v>
      </c>
      <c r="AL18" s="1">
        <f t="shared" si="14"/>
        <v>2536.2789544694647</v>
      </c>
    </row>
    <row r="19" spans="1:139" x14ac:dyDescent="0.2">
      <c r="A19" t="s">
        <v>24</v>
      </c>
      <c r="B19" s="1">
        <v>741</v>
      </c>
      <c r="C19" s="1">
        <v>746</v>
      </c>
      <c r="D19" s="1">
        <v>755</v>
      </c>
      <c r="E19" s="1">
        <v>796</v>
      </c>
      <c r="F19" s="1">
        <v>815</v>
      </c>
      <c r="G19" s="1">
        <v>815</v>
      </c>
      <c r="H19" s="1">
        <v>801</v>
      </c>
      <c r="I19" s="1">
        <v>822</v>
      </c>
      <c r="J19" s="1">
        <v>721</v>
      </c>
      <c r="K19" s="1">
        <v>743</v>
      </c>
      <c r="L19" s="1">
        <v>739</v>
      </c>
      <c r="M19" s="1">
        <v>770</v>
      </c>
      <c r="N19" s="1">
        <v>742</v>
      </c>
      <c r="O19" s="1">
        <v>718</v>
      </c>
      <c r="P19" s="1">
        <v>746</v>
      </c>
      <c r="Q19" s="1">
        <f t="shared" si="8"/>
        <v>773</v>
      </c>
      <c r="R19" s="1">
        <v>731</v>
      </c>
      <c r="W19" s="8"/>
      <c r="X19" s="1">
        <v>2642</v>
      </c>
      <c r="Y19" s="1">
        <v>3038</v>
      </c>
      <c r="Z19" s="1">
        <v>3253</v>
      </c>
      <c r="AA19" s="1">
        <v>2973</v>
      </c>
      <c r="AB19" s="1">
        <v>2979</v>
      </c>
      <c r="AC19" s="1">
        <f>+AC13*0.09</f>
        <v>3004.8164999999999</v>
      </c>
      <c r="AD19" s="1">
        <f t="shared" ref="AD19:AE19" si="15">+AD13*0.09</f>
        <v>3155.0573249999998</v>
      </c>
      <c r="AE19" s="1">
        <f t="shared" si="15"/>
        <v>3312.8101912499997</v>
      </c>
      <c r="AF19" s="1">
        <f>+AF13*0.08</f>
        <v>3033.0617751</v>
      </c>
      <c r="AG19" s="1">
        <f>+AG13*0.08</f>
        <v>3124.0536283530005</v>
      </c>
      <c r="AH19" s="1">
        <f>+AH13*0.08</f>
        <v>3217.7752372035902</v>
      </c>
      <c r="AI19" s="1">
        <f>+AI13*0.08</f>
        <v>3314.3084943196982</v>
      </c>
      <c r="AJ19" s="1">
        <f>+AJ13*0.07</f>
        <v>2987.0205305056279</v>
      </c>
      <c r="AK19" s="1">
        <f t="shared" ref="AK19:AL19" si="16">+AK13*0.07</f>
        <v>3076.631146420797</v>
      </c>
      <c r="AL19" s="1">
        <f t="shared" si="16"/>
        <v>3168.9300808134208</v>
      </c>
    </row>
    <row r="20" spans="1:139" x14ac:dyDescent="0.2">
      <c r="A20" t="s">
        <v>25</v>
      </c>
      <c r="B20" s="1">
        <v>524</v>
      </c>
      <c r="C20" s="1">
        <v>522</v>
      </c>
      <c r="D20" s="1">
        <v>498</v>
      </c>
      <c r="E20" s="1">
        <v>570</v>
      </c>
      <c r="F20" s="1">
        <v>607</v>
      </c>
      <c r="G20" s="1">
        <v>514</v>
      </c>
      <c r="H20" s="1">
        <v>463</v>
      </c>
      <c r="I20" s="1">
        <v>515</v>
      </c>
      <c r="J20" s="1">
        <v>507</v>
      </c>
      <c r="K20" s="1">
        <v>491</v>
      </c>
      <c r="L20" s="1">
        <v>507</v>
      </c>
      <c r="M20" s="1">
        <v>554</v>
      </c>
      <c r="N20" s="1">
        <v>464</v>
      </c>
      <c r="O20" s="1">
        <v>570</v>
      </c>
      <c r="P20" s="1">
        <v>519</v>
      </c>
      <c r="Q20" s="1">
        <f t="shared" si="8"/>
        <v>594</v>
      </c>
      <c r="R20" s="1">
        <v>503</v>
      </c>
      <c r="W20" s="8"/>
      <c r="X20" s="1">
        <v>2070</v>
      </c>
      <c r="Y20" s="1">
        <v>2114</v>
      </c>
      <c r="Z20" s="1">
        <v>2099</v>
      </c>
      <c r="AA20" s="1">
        <v>2059</v>
      </c>
      <c r="AB20" s="1">
        <v>2147</v>
      </c>
      <c r="AC20" s="1">
        <f>+AB20*1.03</f>
        <v>2211.41</v>
      </c>
      <c r="AD20" s="1">
        <f t="shared" ref="AD20:AF20" si="17">+AC20*1.03</f>
        <v>2277.7523000000001</v>
      </c>
      <c r="AE20" s="1">
        <f t="shared" si="17"/>
        <v>2346.0848690000003</v>
      </c>
      <c r="AF20" s="1">
        <f t="shared" si="17"/>
        <v>2416.4674150700002</v>
      </c>
      <c r="AG20" s="1">
        <f t="shared" ref="AG20:AL20" si="18">+AF20*1.02</f>
        <v>2464.7967633714002</v>
      </c>
      <c r="AH20" s="1">
        <f t="shared" si="18"/>
        <v>2514.0926986388281</v>
      </c>
      <c r="AI20" s="1">
        <f t="shared" si="18"/>
        <v>2564.3745526116045</v>
      </c>
      <c r="AJ20" s="1">
        <f t="shared" si="18"/>
        <v>2615.6620436638368</v>
      </c>
      <c r="AK20" s="1">
        <f t="shared" si="18"/>
        <v>2667.9752845371136</v>
      </c>
      <c r="AL20" s="1">
        <f t="shared" si="18"/>
        <v>2721.334790227856</v>
      </c>
    </row>
    <row r="21" spans="1:139" x14ac:dyDescent="0.2">
      <c r="A21" t="s">
        <v>26</v>
      </c>
      <c r="B21" s="1">
        <f t="shared" ref="B21:P21" si="19">+SUM(B14:B15)+SUM(B17:B20)</f>
        <v>4933</v>
      </c>
      <c r="C21" s="1">
        <f t="shared" si="19"/>
        <v>5110</v>
      </c>
      <c r="D21" s="1">
        <f t="shared" si="19"/>
        <v>5138</v>
      </c>
      <c r="E21" s="1">
        <f t="shared" si="19"/>
        <v>5866</v>
      </c>
      <c r="F21" s="1">
        <f t="shared" si="19"/>
        <v>5736</v>
      </c>
      <c r="G21" s="1">
        <f t="shared" si="19"/>
        <v>5952</v>
      </c>
      <c r="H21" s="1">
        <f t="shared" si="19"/>
        <v>5672</v>
      </c>
      <c r="I21" s="1">
        <f t="shared" si="19"/>
        <v>6114</v>
      </c>
      <c r="J21" s="1">
        <f t="shared" si="19"/>
        <v>5877</v>
      </c>
      <c r="K21" s="1">
        <f t="shared" si="19"/>
        <v>6130</v>
      </c>
      <c r="L21" s="1">
        <f t="shared" si="19"/>
        <v>6211</v>
      </c>
      <c r="M21" s="1">
        <f t="shared" si="19"/>
        <v>6609</v>
      </c>
      <c r="N21" s="1">
        <f t="shared" si="19"/>
        <v>6319</v>
      </c>
      <c r="O21" s="1">
        <f t="shared" si="19"/>
        <v>6447</v>
      </c>
      <c r="P21" s="1">
        <f t="shared" si="19"/>
        <v>6393</v>
      </c>
      <c r="Q21" s="1">
        <f>+SUM(Q14:Q15)+SUM(Q17:Q20)</f>
        <v>6875</v>
      </c>
      <c r="R21" s="1">
        <f>+SUM(R14:R15)+SUM(R17:R20)</f>
        <v>6195</v>
      </c>
      <c r="X21" s="1">
        <f>+SUM(X14:X15)+SUM(X17:X20)</f>
        <v>18026</v>
      </c>
      <c r="Y21" s="1">
        <f t="shared" ref="Y21:AL21" si="20">+SUM(Y14:Y15)+SUM(Y17:Y20)</f>
        <v>21047</v>
      </c>
      <c r="Z21" s="1">
        <f t="shared" si="20"/>
        <v>23474</v>
      </c>
      <c r="AA21" s="1">
        <f t="shared" si="20"/>
        <v>24827</v>
      </c>
      <c r="AB21" s="1">
        <f t="shared" si="20"/>
        <v>26034</v>
      </c>
      <c r="AC21" s="1">
        <f t="shared" si="20"/>
        <v>27130.901499999996</v>
      </c>
      <c r="AD21" s="1">
        <f t="shared" si="20"/>
        <v>28195.058174999998</v>
      </c>
      <c r="AE21" s="1">
        <f t="shared" si="20"/>
        <v>29313.141463749998</v>
      </c>
      <c r="AF21" s="1">
        <f t="shared" si="20"/>
        <v>30053.367488542503</v>
      </c>
      <c r="AG21" s="1">
        <f t="shared" si="20"/>
        <v>30771.337884559176</v>
      </c>
      <c r="AH21" s="1">
        <f t="shared" si="20"/>
        <v>31512.098489033026</v>
      </c>
      <c r="AI21" s="1">
        <f t="shared" si="20"/>
        <v>32690.564739909623</v>
      </c>
      <c r="AJ21" s="1">
        <f t="shared" si="20"/>
        <v>33064.51696847647</v>
      </c>
      <c r="AK21" s="1">
        <f t="shared" si="20"/>
        <v>33877.486570407818</v>
      </c>
      <c r="AL21" s="1">
        <f t="shared" si="20"/>
        <v>34715.870957721745</v>
      </c>
    </row>
    <row r="22" spans="1:139" s="4" customFormat="1" x14ac:dyDescent="0.2">
      <c r="A22" s="4" t="s">
        <v>27</v>
      </c>
      <c r="B22" s="5">
        <f t="shared" ref="B22:P22" si="21">+B13-B21</f>
        <v>1100</v>
      </c>
      <c r="C22" s="5">
        <f t="shared" si="21"/>
        <v>1128</v>
      </c>
      <c r="D22" s="5">
        <f t="shared" si="21"/>
        <v>1044</v>
      </c>
      <c r="E22" s="5">
        <f t="shared" si="21"/>
        <v>1052</v>
      </c>
      <c r="F22" s="5">
        <f t="shared" si="21"/>
        <v>747</v>
      </c>
      <c r="G22" s="5">
        <f t="shared" si="21"/>
        <v>854</v>
      </c>
      <c r="H22" s="5">
        <f t="shared" si="21"/>
        <v>1174</v>
      </c>
      <c r="I22" s="5">
        <f t="shared" si="21"/>
        <v>1269</v>
      </c>
      <c r="J22" s="5">
        <f t="shared" si="21"/>
        <v>1163</v>
      </c>
      <c r="K22" s="5">
        <f t="shared" si="21"/>
        <v>1157</v>
      </c>
      <c r="L22" s="5">
        <f t="shared" si="21"/>
        <v>1207</v>
      </c>
      <c r="M22" s="5">
        <f t="shared" si="21"/>
        <v>1417</v>
      </c>
      <c r="N22" s="5">
        <f t="shared" si="21"/>
        <v>1380</v>
      </c>
      <c r="O22" s="5">
        <f t="shared" si="21"/>
        <v>1438</v>
      </c>
      <c r="P22" s="5">
        <f t="shared" si="21"/>
        <v>1454</v>
      </c>
      <c r="Q22" s="5">
        <f t="shared" ref="Q22:R22" si="22">+Q13-Q21</f>
        <v>1491</v>
      </c>
      <c r="R22" s="5">
        <f t="shared" si="22"/>
        <v>1596</v>
      </c>
      <c r="S22" s="5"/>
      <c r="T22" s="5"/>
      <c r="U22" s="5"/>
      <c r="V22" s="5"/>
      <c r="X22" s="5">
        <f>+X13-X21</f>
        <v>3428</v>
      </c>
      <c r="Y22" s="5">
        <f>+Y13-Y21</f>
        <v>4324</v>
      </c>
      <c r="Z22" s="5">
        <f>+Z13-Z21</f>
        <v>4044</v>
      </c>
      <c r="AA22" s="5">
        <f>+AA13-AA21</f>
        <v>4944</v>
      </c>
      <c r="AB22" s="5">
        <f>+AB13-AB21</f>
        <v>5763</v>
      </c>
      <c r="AC22" s="5">
        <f t="shared" ref="AC22:AL22" si="23">+AC13-AC21</f>
        <v>6255.9485000000022</v>
      </c>
      <c r="AD22" s="5">
        <f t="shared" si="23"/>
        <v>6861.1343249999991</v>
      </c>
      <c r="AE22" s="5">
        <f t="shared" si="23"/>
        <v>7495.8606612500007</v>
      </c>
      <c r="AF22" s="5">
        <f t="shared" si="23"/>
        <v>7859.9047002074985</v>
      </c>
      <c r="AG22" s="5">
        <f t="shared" si="23"/>
        <v>8279.3324698533288</v>
      </c>
      <c r="AH22" s="5">
        <f t="shared" si="23"/>
        <v>8710.0919760118522</v>
      </c>
      <c r="AI22" s="5">
        <f t="shared" si="23"/>
        <v>8738.2914390866026</v>
      </c>
      <c r="AJ22" s="5">
        <f t="shared" si="23"/>
        <v>9607.2048958896412</v>
      </c>
      <c r="AK22" s="5">
        <f t="shared" si="23"/>
        <v>10074.386949889275</v>
      </c>
      <c r="AL22" s="5">
        <f t="shared" si="23"/>
        <v>10554.558768184259</v>
      </c>
    </row>
    <row r="23" spans="1:139" x14ac:dyDescent="0.2">
      <c r="A23" t="s">
        <v>28</v>
      </c>
      <c r="B23" s="1">
        <v>-170</v>
      </c>
      <c r="C23" s="1">
        <v>229</v>
      </c>
      <c r="D23" s="1">
        <v>122</v>
      </c>
      <c r="E23" s="1">
        <v>-344</v>
      </c>
      <c r="F23" s="1">
        <v>-82</v>
      </c>
      <c r="G23" s="1">
        <v>-715</v>
      </c>
      <c r="H23" s="1">
        <v>460</v>
      </c>
      <c r="I23" s="1">
        <v>-134</v>
      </c>
      <c r="J23" s="1">
        <v>75</v>
      </c>
      <c r="K23" s="1">
        <v>170</v>
      </c>
      <c r="L23" s="1">
        <v>73</v>
      </c>
      <c r="M23" s="1">
        <v>65</v>
      </c>
      <c r="N23" s="1">
        <v>41</v>
      </c>
      <c r="O23" s="1">
        <v>74</v>
      </c>
      <c r="P23" s="1">
        <v>-80</v>
      </c>
      <c r="Q23" s="1">
        <f t="shared" ref="Q23:Q25" si="24">+AB23-SUM(N23:P23)</f>
        <v>-31</v>
      </c>
      <c r="R23" s="1">
        <v>73</v>
      </c>
      <c r="X23" s="1">
        <v>1776</v>
      </c>
      <c r="Y23" s="1">
        <v>-163</v>
      </c>
      <c r="Z23" s="1">
        <v>-471</v>
      </c>
      <c r="AA23" s="1">
        <v>383</v>
      </c>
      <c r="AB23" s="1">
        <v>4</v>
      </c>
      <c r="AC23" s="1">
        <f>+AB40*0.03</f>
        <v>165.81</v>
      </c>
      <c r="AD23" s="1">
        <f t="shared" ref="AD23:AL23" si="25">+AC40*0.03</f>
        <v>316.07914890000006</v>
      </c>
      <c r="AE23" s="1">
        <f t="shared" si="25"/>
        <v>484.02594418926003</v>
      </c>
      <c r="AF23" s="1">
        <f t="shared" si="25"/>
        <v>670.75529075653867</v>
      </c>
      <c r="AG23" s="1">
        <f t="shared" si="25"/>
        <v>870.37273454509716</v>
      </c>
      <c r="AH23" s="1">
        <f t="shared" si="25"/>
        <v>1084.4758363280203</v>
      </c>
      <c r="AI23" s="1">
        <f t="shared" si="25"/>
        <v>1313.6687231367732</v>
      </c>
      <c r="AJ23" s="1">
        <f t="shared" si="25"/>
        <v>1548.8845909328002</v>
      </c>
      <c r="AK23" s="1">
        <f t="shared" si="25"/>
        <v>1809.9370849244453</v>
      </c>
      <c r="AL23" s="1">
        <f t="shared" si="25"/>
        <v>2088.0302673390865</v>
      </c>
    </row>
    <row r="24" spans="1:139" x14ac:dyDescent="0.2">
      <c r="A24" t="s">
        <v>29</v>
      </c>
      <c r="B24" s="1">
        <f t="shared" ref="B24:M24" si="26">+B22+B23</f>
        <v>930</v>
      </c>
      <c r="C24" s="1">
        <f t="shared" si="26"/>
        <v>1357</v>
      </c>
      <c r="D24" s="1">
        <f t="shared" si="26"/>
        <v>1166</v>
      </c>
      <c r="E24" s="1">
        <f t="shared" si="26"/>
        <v>708</v>
      </c>
      <c r="F24" s="1">
        <f t="shared" si="26"/>
        <v>665</v>
      </c>
      <c r="G24" s="1">
        <f t="shared" si="26"/>
        <v>139</v>
      </c>
      <c r="H24" s="1">
        <f t="shared" si="26"/>
        <v>1634</v>
      </c>
      <c r="I24" s="1">
        <f t="shared" si="26"/>
        <v>1135</v>
      </c>
      <c r="J24" s="1">
        <f t="shared" si="26"/>
        <v>1238</v>
      </c>
      <c r="K24" s="1">
        <f t="shared" si="26"/>
        <v>1327</v>
      </c>
      <c r="L24" s="1">
        <f t="shared" si="26"/>
        <v>1280</v>
      </c>
      <c r="M24" s="1">
        <f t="shared" si="26"/>
        <v>1482</v>
      </c>
      <c r="N24" s="1">
        <f t="shared" ref="N24:O24" si="27">+N22+N23</f>
        <v>1421</v>
      </c>
      <c r="O24" s="1">
        <f t="shared" si="27"/>
        <v>1512</v>
      </c>
      <c r="P24" s="1">
        <f t="shared" ref="P24:Q24" si="28">+P22+P23</f>
        <v>1374</v>
      </c>
      <c r="Q24" s="1">
        <f t="shared" si="28"/>
        <v>1460</v>
      </c>
      <c r="R24" s="1">
        <f t="shared" ref="R24" si="29">+R22+R23</f>
        <v>1669</v>
      </c>
      <c r="X24" s="1">
        <f>+X22+X23</f>
        <v>5204</v>
      </c>
      <c r="Y24" s="1">
        <f>+Y22+Y23</f>
        <v>4161</v>
      </c>
      <c r="Z24" s="1">
        <f>+Z22+Z23</f>
        <v>3573</v>
      </c>
      <c r="AA24" s="1">
        <f>+AA22+AA23</f>
        <v>5327</v>
      </c>
      <c r="AB24" s="1">
        <f>+AB22+AB23</f>
        <v>5767</v>
      </c>
      <c r="AC24" s="1">
        <f t="shared" ref="AC24:AL24" si="30">+AC22+AC23</f>
        <v>6421.7585000000026</v>
      </c>
      <c r="AD24" s="1">
        <f t="shared" si="30"/>
        <v>7177.2134738999994</v>
      </c>
      <c r="AE24" s="1">
        <f t="shared" si="30"/>
        <v>7979.8866054392611</v>
      </c>
      <c r="AF24" s="1">
        <f t="shared" si="30"/>
        <v>8530.6599909640372</v>
      </c>
      <c r="AG24" s="1">
        <f t="shared" si="30"/>
        <v>9149.7052043984258</v>
      </c>
      <c r="AH24" s="1">
        <f t="shared" si="30"/>
        <v>9794.567812339872</v>
      </c>
      <c r="AI24" s="1">
        <f t="shared" si="30"/>
        <v>10051.960162223375</v>
      </c>
      <c r="AJ24" s="1">
        <f t="shared" si="30"/>
        <v>11156.089486822442</v>
      </c>
      <c r="AK24" s="1">
        <f t="shared" si="30"/>
        <v>11884.324034813721</v>
      </c>
      <c r="AL24" s="1">
        <f t="shared" si="30"/>
        <v>12642.589035523346</v>
      </c>
    </row>
    <row r="25" spans="1:139" x14ac:dyDescent="0.2">
      <c r="A25" t="s">
        <v>30</v>
      </c>
      <c r="B25" s="1">
        <v>-225</v>
      </c>
      <c r="C25" s="1">
        <v>172</v>
      </c>
      <c r="D25" s="1">
        <v>78</v>
      </c>
      <c r="E25" s="1">
        <v>-95</v>
      </c>
      <c r="F25" s="1">
        <v>120</v>
      </c>
      <c r="G25" s="1">
        <v>390</v>
      </c>
      <c r="H25" s="1">
        <v>248</v>
      </c>
      <c r="I25" s="1">
        <v>189</v>
      </c>
      <c r="J25" s="1">
        <v>279</v>
      </c>
      <c r="K25" s="1">
        <v>274</v>
      </c>
      <c r="L25" s="1">
        <v>221</v>
      </c>
      <c r="M25" s="1">
        <v>391</v>
      </c>
      <c r="N25" s="1">
        <v>321</v>
      </c>
      <c r="O25" s="1">
        <v>271</v>
      </c>
      <c r="P25" s="1">
        <v>301</v>
      </c>
      <c r="Q25" s="1">
        <f t="shared" si="24"/>
        <v>289</v>
      </c>
      <c r="R25" s="1">
        <v>316</v>
      </c>
      <c r="X25" s="1">
        <v>863</v>
      </c>
      <c r="Y25" s="1">
        <v>-70</v>
      </c>
      <c r="Z25" s="1">
        <v>947</v>
      </c>
      <c r="AA25" s="1">
        <v>1165</v>
      </c>
      <c r="AB25" s="1">
        <v>1182</v>
      </c>
      <c r="AC25" s="1">
        <f>+AC24*0.22</f>
        <v>1412.7868700000006</v>
      </c>
      <c r="AD25" s="1">
        <f t="shared" ref="AD25:AL25" si="31">+AD24*0.22</f>
        <v>1578.9869642579999</v>
      </c>
      <c r="AE25" s="1">
        <f t="shared" si="31"/>
        <v>1755.5750531966376</v>
      </c>
      <c r="AF25" s="1">
        <f t="shared" si="31"/>
        <v>1876.7451980120882</v>
      </c>
      <c r="AG25" s="1">
        <f t="shared" si="31"/>
        <v>2012.9351449676537</v>
      </c>
      <c r="AH25" s="1">
        <f t="shared" si="31"/>
        <v>2154.8049187147717</v>
      </c>
      <c r="AI25" s="1">
        <f t="shared" si="31"/>
        <v>2211.4312356891423</v>
      </c>
      <c r="AJ25" s="1">
        <f t="shared" si="31"/>
        <v>2454.3396871009372</v>
      </c>
      <c r="AK25" s="1">
        <f t="shared" si="31"/>
        <v>2614.5512876590187</v>
      </c>
      <c r="AL25" s="1">
        <f t="shared" si="31"/>
        <v>2781.3695878151361</v>
      </c>
    </row>
    <row r="26" spans="1:139" s="4" customFormat="1" x14ac:dyDescent="0.2">
      <c r="A26" s="4" t="s">
        <v>31</v>
      </c>
      <c r="B26" s="5">
        <f t="shared" ref="B26:M26" si="32">+B24-B25</f>
        <v>1155</v>
      </c>
      <c r="C26" s="5">
        <f t="shared" si="32"/>
        <v>1185</v>
      </c>
      <c r="D26" s="5">
        <f t="shared" si="32"/>
        <v>1088</v>
      </c>
      <c r="E26" s="5">
        <f t="shared" si="32"/>
        <v>803</v>
      </c>
      <c r="F26" s="5">
        <f t="shared" si="32"/>
        <v>545</v>
      </c>
      <c r="G26" s="5">
        <f t="shared" si="32"/>
        <v>-251</v>
      </c>
      <c r="H26" s="5">
        <f t="shared" si="32"/>
        <v>1386</v>
      </c>
      <c r="I26" s="5">
        <f t="shared" si="32"/>
        <v>946</v>
      </c>
      <c r="J26" s="5">
        <f t="shared" si="32"/>
        <v>959</v>
      </c>
      <c r="K26" s="5">
        <f t="shared" si="32"/>
        <v>1053</v>
      </c>
      <c r="L26" s="5">
        <f t="shared" si="32"/>
        <v>1059</v>
      </c>
      <c r="M26" s="5">
        <f t="shared" si="32"/>
        <v>1091</v>
      </c>
      <c r="N26" s="5">
        <f t="shared" ref="N26:O26" si="33">+N24-N25</f>
        <v>1100</v>
      </c>
      <c r="O26" s="5">
        <f t="shared" si="33"/>
        <v>1241</v>
      </c>
      <c r="P26" s="5">
        <f t="shared" ref="P26:Q26" si="34">+P24-P25</f>
        <v>1073</v>
      </c>
      <c r="Q26" s="5">
        <f t="shared" si="34"/>
        <v>1171</v>
      </c>
      <c r="R26" s="5">
        <f t="shared" ref="R26" si="35">+R24-R25</f>
        <v>1353</v>
      </c>
      <c r="S26" s="5"/>
      <c r="T26" s="5"/>
      <c r="U26" s="5"/>
      <c r="V26" s="5"/>
      <c r="X26" s="5">
        <f>+X24-X25</f>
        <v>4341</v>
      </c>
      <c r="Y26" s="5">
        <f>+Y24-Y25</f>
        <v>4231</v>
      </c>
      <c r="Z26" s="5">
        <f>+Z24-Z25</f>
        <v>2626</v>
      </c>
      <c r="AA26" s="5">
        <f>+AA24-AA25</f>
        <v>4162</v>
      </c>
      <c r="AB26" s="5">
        <f>+AB24-AB25</f>
        <v>4585</v>
      </c>
      <c r="AC26" s="5">
        <f t="shared" ref="AC26:AL26" si="36">+AC24-AC25</f>
        <v>5008.9716300000018</v>
      </c>
      <c r="AD26" s="5">
        <f t="shared" si="36"/>
        <v>5598.2265096419997</v>
      </c>
      <c r="AE26" s="5">
        <f t="shared" si="36"/>
        <v>6224.3115522426233</v>
      </c>
      <c r="AF26" s="5">
        <f t="shared" si="36"/>
        <v>6653.9147929519495</v>
      </c>
      <c r="AG26" s="5">
        <f t="shared" si="36"/>
        <v>7136.7700594307717</v>
      </c>
      <c r="AH26" s="5">
        <f t="shared" si="36"/>
        <v>7639.7628936251003</v>
      </c>
      <c r="AI26" s="5">
        <f t="shared" si="36"/>
        <v>7840.5289265342326</v>
      </c>
      <c r="AJ26" s="5">
        <f t="shared" si="36"/>
        <v>8701.749799721505</v>
      </c>
      <c r="AK26" s="5">
        <f t="shared" si="36"/>
        <v>9269.7727471547023</v>
      </c>
      <c r="AL26" s="5">
        <f t="shared" si="36"/>
        <v>9861.2194477082103</v>
      </c>
      <c r="AM26" s="5">
        <f>+AL26*(1+$AO$30)</f>
        <v>9762.6072532311282</v>
      </c>
      <c r="AN26" s="5">
        <f t="shared" ref="AN26:CY26" si="37">+AM26*(1+$AO$30)</f>
        <v>9664.9811806988164</v>
      </c>
      <c r="AO26" s="5">
        <f t="shared" si="37"/>
        <v>9568.3313688918279</v>
      </c>
      <c r="AP26" s="5">
        <f t="shared" si="37"/>
        <v>9472.6480552029097</v>
      </c>
      <c r="AQ26" s="5">
        <f t="shared" si="37"/>
        <v>9377.9215746508798</v>
      </c>
      <c r="AR26" s="5">
        <f t="shared" si="37"/>
        <v>9284.1423589043716</v>
      </c>
      <c r="AS26" s="5">
        <f t="shared" si="37"/>
        <v>9191.3009353153284</v>
      </c>
      <c r="AT26" s="5">
        <f t="shared" si="37"/>
        <v>9099.3879259621754</v>
      </c>
      <c r="AU26" s="5">
        <f t="shared" si="37"/>
        <v>9008.3940467025532</v>
      </c>
      <c r="AV26" s="5">
        <f t="shared" si="37"/>
        <v>8918.3101062355272</v>
      </c>
      <c r="AW26" s="5">
        <f t="shared" si="37"/>
        <v>8829.1270051731717</v>
      </c>
      <c r="AX26" s="5">
        <f t="shared" si="37"/>
        <v>8740.8357351214399</v>
      </c>
      <c r="AY26" s="5">
        <f t="shared" si="37"/>
        <v>8653.4273777702256</v>
      </c>
      <c r="AZ26" s="5">
        <f t="shared" si="37"/>
        <v>8566.8931039925228</v>
      </c>
      <c r="BA26" s="5">
        <f t="shared" si="37"/>
        <v>8481.2241729525977</v>
      </c>
      <c r="BB26" s="5">
        <f t="shared" si="37"/>
        <v>8396.4119312230723</v>
      </c>
      <c r="BC26" s="5">
        <f t="shared" si="37"/>
        <v>8312.4478119108408</v>
      </c>
      <c r="BD26" s="5">
        <f t="shared" si="37"/>
        <v>8229.3233337917318</v>
      </c>
      <c r="BE26" s="5">
        <f t="shared" si="37"/>
        <v>8147.0301004538142</v>
      </c>
      <c r="BF26" s="5">
        <f t="shared" si="37"/>
        <v>8065.5597994492764</v>
      </c>
      <c r="BG26" s="5">
        <f t="shared" si="37"/>
        <v>7984.904201454784</v>
      </c>
      <c r="BH26" s="5">
        <f t="shared" si="37"/>
        <v>7905.0551594402359</v>
      </c>
      <c r="BI26" s="5">
        <f t="shared" si="37"/>
        <v>7826.0046078458336</v>
      </c>
      <c r="BJ26" s="5">
        <f t="shared" si="37"/>
        <v>7747.7445617673748</v>
      </c>
      <c r="BK26" s="5">
        <f t="shared" si="37"/>
        <v>7670.267116149701</v>
      </c>
      <c r="BL26" s="5">
        <f t="shared" si="37"/>
        <v>7593.5644449882038</v>
      </c>
      <c r="BM26" s="5">
        <f t="shared" si="37"/>
        <v>7517.6288005383221</v>
      </c>
      <c r="BN26" s="5">
        <f t="shared" si="37"/>
        <v>7442.4525125329392</v>
      </c>
      <c r="BO26" s="5">
        <f t="shared" si="37"/>
        <v>7368.0279874076095</v>
      </c>
      <c r="BP26" s="5">
        <f t="shared" si="37"/>
        <v>7294.3477075335331</v>
      </c>
      <c r="BQ26" s="5">
        <f t="shared" si="37"/>
        <v>7221.4042304581981</v>
      </c>
      <c r="BR26" s="5">
        <f t="shared" si="37"/>
        <v>7149.190188153616</v>
      </c>
      <c r="BS26" s="5">
        <f t="shared" si="37"/>
        <v>7077.6982862720797</v>
      </c>
      <c r="BT26" s="5">
        <f t="shared" si="37"/>
        <v>7006.9213034093591</v>
      </c>
      <c r="BU26" s="5">
        <f t="shared" si="37"/>
        <v>6936.8520903752651</v>
      </c>
      <c r="BV26" s="5">
        <f t="shared" si="37"/>
        <v>6867.4835694715121</v>
      </c>
      <c r="BW26" s="5">
        <f t="shared" si="37"/>
        <v>6798.8087337767965</v>
      </c>
      <c r="BX26" s="5">
        <f t="shared" si="37"/>
        <v>6730.8206464390287</v>
      </c>
      <c r="BY26" s="5">
        <f t="shared" si="37"/>
        <v>6663.5124399746383</v>
      </c>
      <c r="BZ26" s="5">
        <f t="shared" si="37"/>
        <v>6596.8773155748922</v>
      </c>
      <c r="CA26" s="5">
        <f t="shared" si="37"/>
        <v>6530.9085424191435</v>
      </c>
      <c r="CB26" s="5">
        <f t="shared" si="37"/>
        <v>6465.5994569949517</v>
      </c>
      <c r="CC26" s="5">
        <f t="shared" si="37"/>
        <v>6400.9434624250025</v>
      </c>
      <c r="CD26" s="5">
        <f t="shared" si="37"/>
        <v>6336.9340278007521</v>
      </c>
      <c r="CE26" s="5">
        <f t="shared" si="37"/>
        <v>6273.5646875227449</v>
      </c>
      <c r="CF26" s="5">
        <f t="shared" si="37"/>
        <v>6210.8290406475171</v>
      </c>
      <c r="CG26" s="5">
        <f t="shared" si="37"/>
        <v>6148.720750241042</v>
      </c>
      <c r="CH26" s="5">
        <f t="shared" si="37"/>
        <v>6087.2335427386315</v>
      </c>
      <c r="CI26" s="5">
        <f t="shared" si="37"/>
        <v>6026.3612073112454</v>
      </c>
      <c r="CJ26" s="5">
        <f t="shared" si="37"/>
        <v>5966.0975952381332</v>
      </c>
      <c r="CK26" s="5">
        <f t="shared" si="37"/>
        <v>5906.4366192857515</v>
      </c>
      <c r="CL26" s="5">
        <f t="shared" si="37"/>
        <v>5847.3722530928935</v>
      </c>
      <c r="CM26" s="5">
        <f t="shared" si="37"/>
        <v>5788.8985305619644</v>
      </c>
      <c r="CN26" s="5">
        <f t="shared" si="37"/>
        <v>5731.0095452563446</v>
      </c>
      <c r="CO26" s="5">
        <f t="shared" si="37"/>
        <v>5673.6994498037811</v>
      </c>
      <c r="CP26" s="5">
        <f t="shared" si="37"/>
        <v>5616.9624553057429</v>
      </c>
      <c r="CQ26" s="5">
        <f t="shared" si="37"/>
        <v>5560.7928307526854</v>
      </c>
      <c r="CR26" s="5">
        <f t="shared" si="37"/>
        <v>5505.1849024451585</v>
      </c>
      <c r="CS26" s="5">
        <f t="shared" si="37"/>
        <v>5450.1330534207073</v>
      </c>
      <c r="CT26" s="5">
        <f t="shared" si="37"/>
        <v>5395.6317228865</v>
      </c>
      <c r="CU26" s="5">
        <f t="shared" si="37"/>
        <v>5341.6754056576347</v>
      </c>
      <c r="CV26" s="5">
        <f t="shared" si="37"/>
        <v>5288.2586516010579</v>
      </c>
      <c r="CW26" s="5">
        <f t="shared" si="37"/>
        <v>5235.3760650850472</v>
      </c>
      <c r="CX26" s="5">
        <f t="shared" si="37"/>
        <v>5183.0223044341965</v>
      </c>
      <c r="CY26" s="5">
        <f t="shared" si="37"/>
        <v>5131.1920813898541</v>
      </c>
      <c r="CZ26" s="5">
        <f t="shared" ref="CZ26:EI26" si="38">+CY26*(1+$AO$30)</f>
        <v>5079.8801605759554</v>
      </c>
      <c r="DA26" s="5">
        <f t="shared" si="38"/>
        <v>5029.0813589701957</v>
      </c>
      <c r="DB26" s="5">
        <f t="shared" si="38"/>
        <v>4978.7905453804933</v>
      </c>
      <c r="DC26" s="5">
        <f t="shared" si="38"/>
        <v>4929.0026399266881</v>
      </c>
      <c r="DD26" s="5">
        <f t="shared" si="38"/>
        <v>4879.7126135274211</v>
      </c>
      <c r="DE26" s="5">
        <f t="shared" si="38"/>
        <v>4830.915487392147</v>
      </c>
      <c r="DF26" s="5">
        <f t="shared" si="38"/>
        <v>4782.6063325182258</v>
      </c>
      <c r="DG26" s="5">
        <f t="shared" si="38"/>
        <v>4734.7802691930438</v>
      </c>
      <c r="DH26" s="5">
        <f t="shared" si="38"/>
        <v>4687.4324665011136</v>
      </c>
      <c r="DI26" s="5">
        <f t="shared" si="38"/>
        <v>4640.5581418361025</v>
      </c>
      <c r="DJ26" s="5">
        <f t="shared" si="38"/>
        <v>4594.1525604177414</v>
      </c>
      <c r="DK26" s="5">
        <f t="shared" si="38"/>
        <v>4548.2110348135639</v>
      </c>
      <c r="DL26" s="5">
        <f t="shared" si="38"/>
        <v>4502.7289244654285</v>
      </c>
      <c r="DM26" s="5">
        <f t="shared" si="38"/>
        <v>4457.7016352207738</v>
      </c>
      <c r="DN26" s="5">
        <f t="shared" si="38"/>
        <v>4413.1246188685664</v>
      </c>
      <c r="DO26" s="5">
        <f t="shared" si="38"/>
        <v>4368.9933726798808</v>
      </c>
      <c r="DP26" s="5">
        <f t="shared" si="38"/>
        <v>4325.3034389530821</v>
      </c>
      <c r="DQ26" s="5">
        <f t="shared" si="38"/>
        <v>4282.0504045635516</v>
      </c>
      <c r="DR26" s="5">
        <f t="shared" si="38"/>
        <v>4239.2299005179157</v>
      </c>
      <c r="DS26" s="5">
        <f t="shared" si="38"/>
        <v>4196.8376015127369</v>
      </c>
      <c r="DT26" s="5">
        <f t="shared" si="38"/>
        <v>4154.8692254976095</v>
      </c>
      <c r="DU26" s="5">
        <f t="shared" si="38"/>
        <v>4113.3205332426332</v>
      </c>
      <c r="DV26" s="5">
        <f t="shared" si="38"/>
        <v>4072.1873279102069</v>
      </c>
      <c r="DW26" s="5">
        <f t="shared" si="38"/>
        <v>4031.4654546311049</v>
      </c>
      <c r="DX26" s="5">
        <f t="shared" si="38"/>
        <v>3991.1508000847939</v>
      </c>
      <c r="DY26" s="5">
        <f t="shared" si="38"/>
        <v>3951.2392920839461</v>
      </c>
      <c r="DZ26" s="5">
        <f t="shared" si="38"/>
        <v>3911.7268991631067</v>
      </c>
      <c r="EA26" s="5">
        <f t="shared" si="38"/>
        <v>3872.6096301714756</v>
      </c>
      <c r="EB26" s="5">
        <f t="shared" si="38"/>
        <v>3833.8835338697609</v>
      </c>
      <c r="EC26" s="5">
        <f t="shared" si="38"/>
        <v>3795.5446985310632</v>
      </c>
      <c r="ED26" s="5">
        <f t="shared" si="38"/>
        <v>3757.5892515457526</v>
      </c>
      <c r="EE26" s="5">
        <f t="shared" si="38"/>
        <v>3720.0133590302949</v>
      </c>
      <c r="EF26" s="5">
        <f t="shared" si="38"/>
        <v>3682.813225439992</v>
      </c>
      <c r="EG26" s="5">
        <f t="shared" si="38"/>
        <v>3645.9850931855922</v>
      </c>
      <c r="EH26" s="5">
        <f t="shared" si="38"/>
        <v>3609.525242253736</v>
      </c>
      <c r="EI26" s="5">
        <f t="shared" si="38"/>
        <v>3573.4299898311988</v>
      </c>
    </row>
    <row r="27" spans="1:139" x14ac:dyDescent="0.2">
      <c r="A27" t="s">
        <v>32</v>
      </c>
      <c r="B27" s="3">
        <f t="shared" ref="B27:M27" si="39">+B26/B28</f>
        <v>0.97058823529411764</v>
      </c>
      <c r="C27" s="3">
        <f t="shared" si="39"/>
        <v>0.99915682967959529</v>
      </c>
      <c r="D27" s="3">
        <f t="shared" si="39"/>
        <v>0.91659646166807074</v>
      </c>
      <c r="E27" s="3">
        <f t="shared" si="39"/>
        <v>0.67878275570583257</v>
      </c>
      <c r="F27" s="3">
        <f t="shared" si="39"/>
        <v>0.46501706484641636</v>
      </c>
      <c r="G27" s="3">
        <f t="shared" si="39"/>
        <v>-0.21675302245250433</v>
      </c>
      <c r="H27" s="3">
        <f t="shared" si="39"/>
        <v>1.1979256698357823</v>
      </c>
      <c r="I27" s="3">
        <f t="shared" si="39"/>
        <v>0.82692307692307687</v>
      </c>
      <c r="J27" s="3">
        <f t="shared" si="39"/>
        <v>0.84567901234567899</v>
      </c>
      <c r="K27" s="3">
        <f t="shared" si="39"/>
        <v>0.94524236983842014</v>
      </c>
      <c r="L27" s="3">
        <f t="shared" si="39"/>
        <v>0.96448087431693985</v>
      </c>
      <c r="M27" s="3">
        <f t="shared" si="39"/>
        <v>1.0064575645756457</v>
      </c>
      <c r="N27" s="3">
        <f t="shared" ref="N27:O27" si="40">+N26/N28</f>
        <v>1.0261194029850746</v>
      </c>
      <c r="O27" s="3">
        <f t="shared" si="40"/>
        <v>1.1852913085004775</v>
      </c>
      <c r="P27" s="3">
        <f t="shared" ref="P27" si="41">+P26/P28</f>
        <v>1.0478515625</v>
      </c>
      <c r="Q27" s="3">
        <f>+Q26/Q28</f>
        <v>1.1559723593287266</v>
      </c>
      <c r="R27" s="3">
        <f>+R26/R28</f>
        <v>1.3543543543543544</v>
      </c>
      <c r="S27" s="3"/>
      <c r="T27" s="3"/>
      <c r="U27" s="3"/>
      <c r="V27" s="3"/>
      <c r="X27" s="3">
        <f>+X26/X28</f>
        <v>3.6602023608768972</v>
      </c>
      <c r="Y27" s="3">
        <f>+Y26/Y28</f>
        <v>3.5674536256323779</v>
      </c>
      <c r="Z27" s="3">
        <f>+Z26/Z28</f>
        <v>2.3721770551038843</v>
      </c>
      <c r="AA27" s="3">
        <f>+AA26/AA28</f>
        <v>3.7597109304426377</v>
      </c>
      <c r="AB27" s="3">
        <f>+AB26/AB28</f>
        <v>4.4128970163618861</v>
      </c>
      <c r="AC27" s="3">
        <f t="shared" ref="AC27:AL27" si="42">+AC26/AC28</f>
        <v>4.9700560908089679</v>
      </c>
      <c r="AD27" s="3">
        <f t="shared" si="42"/>
        <v>5.7265288150912381</v>
      </c>
      <c r="AE27" s="3">
        <f t="shared" si="42"/>
        <v>6.5638790878143913</v>
      </c>
      <c r="AF27" s="3">
        <f t="shared" si="42"/>
        <v>7.2339374726030297</v>
      </c>
      <c r="AG27" s="3">
        <f t="shared" si="42"/>
        <v>7.998848762826138</v>
      </c>
      <c r="AH27" s="3">
        <f t="shared" si="42"/>
        <v>8.8274227756179116</v>
      </c>
      <c r="AI27" s="3">
        <f t="shared" si="42"/>
        <v>9.3395870432797299</v>
      </c>
      <c r="AJ27" s="3">
        <f t="shared" si="42"/>
        <v>10.686049220546426</v>
      </c>
      <c r="AK27" s="3">
        <f t="shared" si="42"/>
        <v>11.735671147943105</v>
      </c>
      <c r="AL27" s="3">
        <f t="shared" si="42"/>
        <v>12.870568587632967</v>
      </c>
    </row>
    <row r="28" spans="1:139" x14ac:dyDescent="0.2">
      <c r="A28" t="s">
        <v>1</v>
      </c>
      <c r="B28" s="1">
        <v>1190</v>
      </c>
      <c r="C28" s="1">
        <v>1186</v>
      </c>
      <c r="D28" s="1">
        <v>1187</v>
      </c>
      <c r="E28" s="1">
        <v>1183</v>
      </c>
      <c r="F28" s="1">
        <v>1172</v>
      </c>
      <c r="G28" s="1">
        <v>1158</v>
      </c>
      <c r="H28" s="1">
        <v>1157</v>
      </c>
      <c r="I28" s="1">
        <v>1144</v>
      </c>
      <c r="J28" s="1">
        <v>1134</v>
      </c>
      <c r="K28" s="1">
        <v>1114</v>
      </c>
      <c r="L28" s="1">
        <v>1098</v>
      </c>
      <c r="M28" s="1">
        <v>1084</v>
      </c>
      <c r="N28" s="1">
        <v>1072</v>
      </c>
      <c r="O28" s="1">
        <v>1047</v>
      </c>
      <c r="P28" s="1">
        <v>1024</v>
      </c>
      <c r="Q28" s="1">
        <f>+(AB28*4)-SUM(N28:P28)</f>
        <v>1013</v>
      </c>
      <c r="R28" s="1">
        <v>999</v>
      </c>
      <c r="W28" s="8"/>
      <c r="X28" s="1">
        <v>1186</v>
      </c>
      <c r="Y28" s="1">
        <v>1186</v>
      </c>
      <c r="Z28" s="1">
        <v>1107</v>
      </c>
      <c r="AA28" s="1">
        <v>1107</v>
      </c>
      <c r="AB28" s="1">
        <v>1039</v>
      </c>
      <c r="AC28" s="1">
        <f>+AB28*0.97</f>
        <v>1007.8299999999999</v>
      </c>
      <c r="AD28" s="1">
        <f t="shared" ref="AD28:AL28" si="43">+AC28*0.97</f>
        <v>977.59509999999989</v>
      </c>
      <c r="AE28" s="1">
        <f t="shared" si="43"/>
        <v>948.26724699999988</v>
      </c>
      <c r="AF28" s="1">
        <f t="shared" si="43"/>
        <v>919.81922958999985</v>
      </c>
      <c r="AG28" s="1">
        <f t="shared" si="43"/>
        <v>892.22465270229986</v>
      </c>
      <c r="AH28" s="1">
        <f t="shared" si="43"/>
        <v>865.45791312123083</v>
      </c>
      <c r="AI28" s="1">
        <f t="shared" si="43"/>
        <v>839.49417572759387</v>
      </c>
      <c r="AJ28" s="1">
        <f t="shared" si="43"/>
        <v>814.30935045576598</v>
      </c>
      <c r="AK28" s="1">
        <f t="shared" si="43"/>
        <v>789.88006994209297</v>
      </c>
      <c r="AL28" s="1">
        <f t="shared" si="43"/>
        <v>766.18366784383011</v>
      </c>
    </row>
    <row r="30" spans="1:139" s="7" customFormat="1" x14ac:dyDescent="0.2">
      <c r="A30" s="7" t="s">
        <v>99</v>
      </c>
      <c r="B30" s="7">
        <f t="shared" ref="B30:P30" si="44">+B16/B13</f>
        <v>0.5776562241007791</v>
      </c>
      <c r="C30" s="7">
        <f t="shared" si="44"/>
        <v>0.56829111894838091</v>
      </c>
      <c r="D30" s="7">
        <f t="shared" si="44"/>
        <v>0.54189582659333546</v>
      </c>
      <c r="E30" s="7">
        <f t="shared" si="44"/>
        <v>0.52269442035270308</v>
      </c>
      <c r="F30" s="7">
        <f t="shared" si="44"/>
        <v>0.5085608514576585</v>
      </c>
      <c r="G30" s="7">
        <f t="shared" si="44"/>
        <v>0.48692330296796943</v>
      </c>
      <c r="H30" s="7">
        <f t="shared" si="44"/>
        <v>0.50993280747881975</v>
      </c>
      <c r="I30" s="7">
        <f t="shared" si="44"/>
        <v>0.49722335094135173</v>
      </c>
      <c r="J30" s="7">
        <f t="shared" si="44"/>
        <v>0.47088068181818182</v>
      </c>
      <c r="K30" s="7">
        <f t="shared" si="44"/>
        <v>0.45944833264717994</v>
      </c>
      <c r="L30" s="7">
        <f t="shared" si="44"/>
        <v>0.45416554327311942</v>
      </c>
      <c r="M30" s="7">
        <f t="shared" si="44"/>
        <v>0.45751308248193373</v>
      </c>
      <c r="N30" s="7">
        <f t="shared" si="44"/>
        <v>0.44953890115599426</v>
      </c>
      <c r="O30" s="7">
        <f t="shared" si="44"/>
        <v>0.45757767913760306</v>
      </c>
      <c r="P30" s="7">
        <f t="shared" si="44"/>
        <v>0.46565566458519181</v>
      </c>
      <c r="Q30" s="7">
        <f>+Q16/Q13</f>
        <v>0.47035620368156827</v>
      </c>
      <c r="R30" s="7">
        <f>+R16/R13</f>
        <v>0.4769605955589783</v>
      </c>
      <c r="X30" s="7">
        <f>+X16/X13</f>
        <v>0.54903514496131256</v>
      </c>
      <c r="Y30" s="7">
        <f t="shared" ref="Y30:AL30" si="45">+Y16/Y13</f>
        <v>0.55165346261479642</v>
      </c>
      <c r="Z30" s="7">
        <f t="shared" si="45"/>
        <v>0.50050875790391747</v>
      </c>
      <c r="AA30" s="7">
        <f t="shared" si="45"/>
        <v>0.46031372812468507</v>
      </c>
      <c r="AB30" s="7">
        <f t="shared" si="45"/>
        <v>0.46098688555524103</v>
      </c>
      <c r="AC30" s="7">
        <f t="shared" si="45"/>
        <v>0.45724124917445047</v>
      </c>
      <c r="AD30" s="7">
        <f t="shared" si="45"/>
        <v>0.45968460636448188</v>
      </c>
      <c r="AE30" s="7">
        <f t="shared" si="45"/>
        <v>0.46198834314365428</v>
      </c>
      <c r="AF30" s="7">
        <f t="shared" si="45"/>
        <v>0.45346452399244441</v>
      </c>
      <c r="AG30" s="7">
        <f t="shared" si="45"/>
        <v>0.45488337742963109</v>
      </c>
      <c r="AH30" s="7">
        <f t="shared" si="45"/>
        <v>0.45624712976246085</v>
      </c>
      <c r="AI30" s="7">
        <f t="shared" si="45"/>
        <v>0.44755792083964685</v>
      </c>
      <c r="AJ30" s="7">
        <f t="shared" si="45"/>
        <v>0.44881780740898092</v>
      </c>
      <c r="AK30" s="7">
        <f t="shared" si="45"/>
        <v>0.45002876634455452</v>
      </c>
      <c r="AL30" s="7">
        <f t="shared" si="45"/>
        <v>0.45119269774864951</v>
      </c>
      <c r="AN30" s="7" t="s">
        <v>94</v>
      </c>
      <c r="AO30" s="7">
        <v>-0.01</v>
      </c>
    </row>
    <row r="31" spans="1:139" s="7" customFormat="1" x14ac:dyDescent="0.2">
      <c r="A31" s="7" t="s">
        <v>54</v>
      </c>
      <c r="B31" s="7">
        <f t="shared" ref="B31:L31" si="46">+B22/B13</f>
        <v>0.18233051549809381</v>
      </c>
      <c r="C31" s="7">
        <f t="shared" si="46"/>
        <v>0.18082718820134658</v>
      </c>
      <c r="D31" s="7">
        <f t="shared" si="46"/>
        <v>0.16887738595923649</v>
      </c>
      <c r="E31" s="7">
        <f t="shared" si="46"/>
        <v>0.15206707140792136</v>
      </c>
      <c r="F31" s="7">
        <f t="shared" si="46"/>
        <v>0.11522443313280889</v>
      </c>
      <c r="G31" s="7">
        <f t="shared" si="46"/>
        <v>0.12547751983543931</v>
      </c>
      <c r="H31" s="7">
        <f t="shared" si="46"/>
        <v>0.17148699970785861</v>
      </c>
      <c r="I31" s="7">
        <f t="shared" si="46"/>
        <v>0.1718813490451036</v>
      </c>
      <c r="J31" s="7">
        <f t="shared" si="46"/>
        <v>0.16519886363636363</v>
      </c>
      <c r="K31" s="7">
        <f t="shared" si="46"/>
        <v>0.15877590229175242</v>
      </c>
      <c r="L31" s="7">
        <f t="shared" si="46"/>
        <v>0.16271232138042599</v>
      </c>
      <c r="M31" s="7">
        <f t="shared" ref="M31:R31" si="47">+M22/M13</f>
        <v>0.17655120857214054</v>
      </c>
      <c r="N31" s="7">
        <f t="shared" si="47"/>
        <v>0.17924405766982726</v>
      </c>
      <c r="O31" s="7">
        <f t="shared" si="47"/>
        <v>0.18237159162967659</v>
      </c>
      <c r="P31" s="7">
        <f t="shared" si="47"/>
        <v>0.18529374283165542</v>
      </c>
      <c r="Q31" s="7">
        <f t="shared" si="47"/>
        <v>0.1782213722208941</v>
      </c>
      <c r="R31" s="7">
        <f t="shared" si="47"/>
        <v>0.20485175202156333</v>
      </c>
      <c r="X31" s="7">
        <f t="shared" ref="X31:AA31" si="48">+X22/X13</f>
        <v>0.15978372331499954</v>
      </c>
      <c r="Y31" s="7">
        <f t="shared" si="48"/>
        <v>0.1704308068266919</v>
      </c>
      <c r="Z31" s="7">
        <f t="shared" si="48"/>
        <v>0.14695835453157932</v>
      </c>
      <c r="AA31" s="7">
        <f t="shared" si="48"/>
        <v>0.16606764972624366</v>
      </c>
      <c r="AB31" s="7">
        <f>+AB22/AB13</f>
        <v>0.18124351353901311</v>
      </c>
      <c r="AC31" s="7">
        <f t="shared" ref="AC31:AL31" si="49">+AC22/AC13</f>
        <v>0.18737762023071966</v>
      </c>
      <c r="AD31" s="7">
        <f t="shared" si="49"/>
        <v>0.19571818374171696</v>
      </c>
      <c r="AE31" s="7">
        <f t="shared" si="49"/>
        <v>0.20364205027332022</v>
      </c>
      <c r="AF31" s="7">
        <f t="shared" si="49"/>
        <v>0.20731274950569334</v>
      </c>
      <c r="AG31" s="7">
        <f t="shared" si="49"/>
        <v>0.21201511765899331</v>
      </c>
      <c r="AH31" s="7">
        <f t="shared" si="49"/>
        <v>0.21654941899749006</v>
      </c>
      <c r="AI31" s="7">
        <f t="shared" si="49"/>
        <v>0.21092282638294943</v>
      </c>
      <c r="AJ31" s="7">
        <f t="shared" si="49"/>
        <v>0.22514218963149768</v>
      </c>
      <c r="AK31" s="7">
        <f t="shared" si="49"/>
        <v>0.22921405034615636</v>
      </c>
      <c r="AL31" s="7">
        <f t="shared" si="49"/>
        <v>0.2331446560610935</v>
      </c>
      <c r="AN31" s="7" t="s">
        <v>95</v>
      </c>
      <c r="AO31" s="7">
        <v>0.11</v>
      </c>
    </row>
    <row r="32" spans="1:139" s="7" customFormat="1" x14ac:dyDescent="0.2">
      <c r="A32" s="7" t="s">
        <v>55</v>
      </c>
      <c r="B32" s="7">
        <f t="shared" ref="B32:L32" si="50">+B26/B13</f>
        <v>0.1914470412729985</v>
      </c>
      <c r="C32" s="7">
        <f t="shared" si="50"/>
        <v>0.18996473228598909</v>
      </c>
      <c r="D32" s="7">
        <f t="shared" si="50"/>
        <v>0.17599482368165642</v>
      </c>
      <c r="E32" s="7">
        <f t="shared" si="50"/>
        <v>0.11607400982943047</v>
      </c>
      <c r="F32" s="7">
        <f t="shared" si="50"/>
        <v>8.4066018818448246E-2</v>
      </c>
      <c r="G32" s="7">
        <f t="shared" si="50"/>
        <v>-3.6879224213928884E-2</v>
      </c>
      <c r="H32" s="7">
        <f t="shared" si="50"/>
        <v>0.20245398773006135</v>
      </c>
      <c r="I32" s="7">
        <f t="shared" si="50"/>
        <v>0.12813219558445077</v>
      </c>
      <c r="J32" s="7">
        <f t="shared" si="50"/>
        <v>0.13622159090909092</v>
      </c>
      <c r="K32" s="7">
        <f t="shared" si="50"/>
        <v>0.14450391107451627</v>
      </c>
      <c r="L32" s="7">
        <f t="shared" si="50"/>
        <v>0.14276085198166621</v>
      </c>
      <c r="M32" s="7">
        <f t="shared" ref="M32:R32" si="51">+M26/M13</f>
        <v>0.13593321704460504</v>
      </c>
      <c r="N32" s="7">
        <f t="shared" si="51"/>
        <v>0.14287569814261591</v>
      </c>
      <c r="O32" s="7">
        <f t="shared" si="51"/>
        <v>0.15738744451490172</v>
      </c>
      <c r="P32" s="7">
        <f t="shared" si="51"/>
        <v>0.13674015547342933</v>
      </c>
      <c r="Q32" s="7">
        <f t="shared" si="51"/>
        <v>0.13997131245517572</v>
      </c>
      <c r="R32" s="7">
        <f t="shared" si="51"/>
        <v>0.17366191759722757</v>
      </c>
      <c r="X32" s="7">
        <f t="shared" ref="X32:AA32" si="52">+X26/X13</f>
        <v>0.20233988999720331</v>
      </c>
      <c r="Y32" s="7">
        <f t="shared" si="52"/>
        <v>0.16676520436719089</v>
      </c>
      <c r="Z32" s="7">
        <f t="shared" si="52"/>
        <v>9.5428446834799036E-2</v>
      </c>
      <c r="AA32" s="7">
        <f t="shared" si="52"/>
        <v>0.13980047697423667</v>
      </c>
      <c r="AB32" s="7">
        <f>+AB26/AB13</f>
        <v>0.14419599333270433</v>
      </c>
      <c r="AC32" s="7">
        <f t="shared" ref="AC32:AL32" si="53">+AC26/AC13</f>
        <v>0.15002827849887013</v>
      </c>
      <c r="AD32" s="7">
        <f t="shared" si="53"/>
        <v>0.15969294182880814</v>
      </c>
      <c r="AE32" s="7">
        <f t="shared" si="53"/>
        <v>0.16909753573610692</v>
      </c>
      <c r="AF32" s="7">
        <f t="shared" si="53"/>
        <v>0.17550357457477292</v>
      </c>
      <c r="AG32" s="7">
        <f t="shared" si="53"/>
        <v>0.18275665935205532</v>
      </c>
      <c r="AH32" s="7">
        <f t="shared" si="53"/>
        <v>0.18993900643637102</v>
      </c>
      <c r="AI32" s="7">
        <f t="shared" si="53"/>
        <v>0.18925284571359363</v>
      </c>
      <c r="AJ32" s="7">
        <f t="shared" si="53"/>
        <v>0.20392309987819071</v>
      </c>
      <c r="AK32" s="7">
        <f t="shared" si="53"/>
        <v>0.21090734034065456</v>
      </c>
      <c r="AL32" s="7">
        <f t="shared" si="53"/>
        <v>0.21782915486806451</v>
      </c>
      <c r="AN32" s="7" t="s">
        <v>96</v>
      </c>
      <c r="AO32" s="1">
        <f>+NPV(AO31,AC26:EI26)+Main!K5-Main!K6</f>
        <v>74018.234596270093</v>
      </c>
    </row>
    <row r="33" spans="1:41" s="7" customFormat="1" x14ac:dyDescent="0.2">
      <c r="A33" s="7" t="s">
        <v>56</v>
      </c>
      <c r="B33" s="7">
        <f t="shared" ref="B33:L33" si="54">+B25/B24</f>
        <v>-0.24193548387096775</v>
      </c>
      <c r="C33" s="7">
        <f t="shared" si="54"/>
        <v>0.12675018422991893</v>
      </c>
      <c r="D33" s="7">
        <f t="shared" si="54"/>
        <v>6.6895368782161235E-2</v>
      </c>
      <c r="E33" s="7">
        <f t="shared" si="54"/>
        <v>-0.13418079096045199</v>
      </c>
      <c r="F33" s="7">
        <f t="shared" si="54"/>
        <v>0.18045112781954886</v>
      </c>
      <c r="G33" s="7">
        <f t="shared" si="54"/>
        <v>2.8057553956834531</v>
      </c>
      <c r="H33" s="7">
        <f t="shared" si="54"/>
        <v>0.15177478580171358</v>
      </c>
      <c r="I33" s="7">
        <f t="shared" si="54"/>
        <v>0.16651982378854627</v>
      </c>
      <c r="J33" s="7">
        <f t="shared" si="54"/>
        <v>0.22536348949919224</v>
      </c>
      <c r="K33" s="7">
        <f t="shared" si="54"/>
        <v>0.20648078372268275</v>
      </c>
      <c r="L33" s="7">
        <f t="shared" si="54"/>
        <v>0.17265625000000001</v>
      </c>
      <c r="M33" s="7">
        <f t="shared" ref="M33:R33" si="55">+M25/M24</f>
        <v>0.26383265856950067</v>
      </c>
      <c r="N33" s="7">
        <f t="shared" si="55"/>
        <v>0.22589725545390571</v>
      </c>
      <c r="O33" s="7">
        <f t="shared" si="55"/>
        <v>0.17923280423280424</v>
      </c>
      <c r="P33" s="7">
        <f t="shared" si="55"/>
        <v>0.2190684133915575</v>
      </c>
      <c r="Q33" s="7">
        <f t="shared" si="55"/>
        <v>0.19794520547945205</v>
      </c>
      <c r="R33" s="7">
        <f t="shared" si="55"/>
        <v>0.18933493109646496</v>
      </c>
      <c r="X33" s="7">
        <f t="shared" ref="X33:AA33" si="56">+X25/X24</f>
        <v>0.16583397386625673</v>
      </c>
      <c r="Y33" s="7">
        <f t="shared" si="56"/>
        <v>-1.6822879115597211E-2</v>
      </c>
      <c r="Z33" s="7">
        <f t="shared" si="56"/>
        <v>0.26504338091239854</v>
      </c>
      <c r="AA33" s="7">
        <f t="shared" si="56"/>
        <v>0.21869720292847758</v>
      </c>
      <c r="AB33" s="7">
        <f>+AB25/AB24</f>
        <v>0.204959250910352</v>
      </c>
      <c r="AC33" s="7">
        <f t="shared" ref="AC33:AL33" si="57">+AC25/AC24</f>
        <v>0.22</v>
      </c>
      <c r="AD33" s="7">
        <f t="shared" si="57"/>
        <v>0.22</v>
      </c>
      <c r="AE33" s="7">
        <f t="shared" si="57"/>
        <v>0.22</v>
      </c>
      <c r="AF33" s="7">
        <f t="shared" si="57"/>
        <v>0.22</v>
      </c>
      <c r="AG33" s="7">
        <f t="shared" si="57"/>
        <v>0.22</v>
      </c>
      <c r="AH33" s="7">
        <f t="shared" si="57"/>
        <v>0.21999999999999997</v>
      </c>
      <c r="AI33" s="7">
        <f t="shared" si="57"/>
        <v>0.21999999999999997</v>
      </c>
      <c r="AJ33" s="7">
        <f t="shared" si="57"/>
        <v>0.22</v>
      </c>
      <c r="AK33" s="7">
        <f t="shared" si="57"/>
        <v>0.22000000000000003</v>
      </c>
      <c r="AL33" s="7">
        <f t="shared" si="57"/>
        <v>0.22</v>
      </c>
      <c r="AN33" s="7" t="s">
        <v>1</v>
      </c>
      <c r="AO33" s="3">
        <f>+AO32/Main!K3</f>
        <v>74.092326923193284</v>
      </c>
    </row>
    <row r="34" spans="1:41" x14ac:dyDescent="0.2">
      <c r="X34" s="7"/>
      <c r="Y34" s="7"/>
      <c r="Z34" s="7"/>
      <c r="AA34" s="7"/>
      <c r="AB34" s="7"/>
      <c r="AN34" s="7" t="s">
        <v>98</v>
      </c>
      <c r="AO34" s="7">
        <f>+AO33/Main!K2-1</f>
        <v>0.12261101398777696</v>
      </c>
    </row>
    <row r="35" spans="1:41" s="8" customFormat="1" x14ac:dyDescent="0.2">
      <c r="A35" s="8" t="s">
        <v>57</v>
      </c>
      <c r="F35" s="8">
        <f t="shared" ref="F35:L35" si="58">+F13/B13-1</f>
        <v>7.458975634012921E-2</v>
      </c>
      <c r="G35" s="8">
        <f t="shared" si="58"/>
        <v>9.105482526450781E-2</v>
      </c>
      <c r="H35" s="8">
        <f t="shared" si="58"/>
        <v>0.10740860562924626</v>
      </c>
      <c r="I35" s="8">
        <f t="shared" si="58"/>
        <v>6.7215958369470918E-2</v>
      </c>
      <c r="J35" s="8">
        <f t="shared" si="58"/>
        <v>8.5917013728212144E-2</v>
      </c>
      <c r="K35" s="8">
        <f t="shared" si="58"/>
        <v>7.0672935645019086E-2</v>
      </c>
      <c r="L35" s="8">
        <f t="shared" si="58"/>
        <v>8.3552439380660148E-2</v>
      </c>
      <c r="M35" s="8">
        <f t="shared" ref="M35:R35" si="59">+M13/I13-1</f>
        <v>8.7091968034674228E-2</v>
      </c>
      <c r="N35" s="8">
        <f t="shared" si="59"/>
        <v>9.3607954545454453E-2</v>
      </c>
      <c r="O35" s="8">
        <f t="shared" si="59"/>
        <v>8.2063949499108002E-2</v>
      </c>
      <c r="P35" s="8">
        <f t="shared" si="59"/>
        <v>5.7832299811269916E-2</v>
      </c>
      <c r="Q35" s="8">
        <f t="shared" si="59"/>
        <v>4.2362322452030865E-2</v>
      </c>
      <c r="R35" s="8">
        <f t="shared" si="59"/>
        <v>1.1949603844655154E-2</v>
      </c>
      <c r="X35" s="8" t="e">
        <f t="shared" ref="X35:AA35" si="60">+X13/W13-1</f>
        <v>#DIV/0!</v>
      </c>
      <c r="Y35" s="8">
        <f t="shared" si="60"/>
        <v>0.18257667567819524</v>
      </c>
      <c r="Z35" s="8">
        <f t="shared" si="60"/>
        <v>8.4624177210200546E-2</v>
      </c>
      <c r="AA35" s="8">
        <f t="shared" si="60"/>
        <v>8.1873682680427384E-2</v>
      </c>
      <c r="AB35" s="8">
        <f>+AB13/AA13-1</f>
        <v>6.8052803063383793E-2</v>
      </c>
      <c r="AC35" s="8">
        <f t="shared" ref="AC35:AL35" si="61">+AC13/AB13-1</f>
        <v>5.0000000000000044E-2</v>
      </c>
      <c r="AD35" s="8">
        <f t="shared" si="61"/>
        <v>5.0000000000000044E-2</v>
      </c>
      <c r="AE35" s="8">
        <f t="shared" si="61"/>
        <v>5.0000000000000044E-2</v>
      </c>
      <c r="AF35" s="8">
        <f t="shared" si="61"/>
        <v>3.0000000000000027E-2</v>
      </c>
      <c r="AG35" s="8">
        <f t="shared" si="61"/>
        <v>3.0000000000000027E-2</v>
      </c>
      <c r="AH35" s="8">
        <f t="shared" si="61"/>
        <v>3.0000000000000027E-2</v>
      </c>
      <c r="AI35" s="8">
        <f t="shared" si="61"/>
        <v>3.0000000000000027E-2</v>
      </c>
      <c r="AJ35" s="8">
        <f t="shared" si="61"/>
        <v>3.0000000000000027E-2</v>
      </c>
      <c r="AK35" s="8">
        <f t="shared" si="61"/>
        <v>3.0000000000000027E-2</v>
      </c>
      <c r="AL35" s="8">
        <f t="shared" si="61"/>
        <v>3.0000000000000027E-2</v>
      </c>
    </row>
    <row r="36" spans="1:41" s="7" customFormat="1" x14ac:dyDescent="0.2">
      <c r="A36" s="7" t="s">
        <v>58</v>
      </c>
      <c r="F36" s="7">
        <f t="shared" ref="F36:L36" si="62">+F18/B18-1</f>
        <v>-1.3289036544850474E-2</v>
      </c>
      <c r="G36" s="7">
        <f t="shared" si="62"/>
        <v>-5.2547770700636987E-2</v>
      </c>
      <c r="H36" s="7">
        <f t="shared" si="62"/>
        <v>-9.1074681238615396E-3</v>
      </c>
      <c r="I36" s="7">
        <f t="shared" si="62"/>
        <v>-0.21321321321321318</v>
      </c>
      <c r="J36" s="7">
        <f t="shared" si="62"/>
        <v>-0.265993265993266</v>
      </c>
      <c r="K36" s="7">
        <f t="shared" si="62"/>
        <v>-0.21848739495798319</v>
      </c>
      <c r="L36" s="7">
        <f t="shared" si="62"/>
        <v>-0.1875</v>
      </c>
      <c r="M36" s="7">
        <f t="shared" ref="M36:R38" si="63">+M18/I18-1</f>
        <v>-0.11068702290076338</v>
      </c>
      <c r="N36" s="7">
        <f t="shared" si="63"/>
        <v>-3.4403669724770602E-2</v>
      </c>
      <c r="O36" s="7">
        <f t="shared" si="63"/>
        <v>-4.0860215053763471E-2</v>
      </c>
      <c r="P36" s="7">
        <f t="shared" si="63"/>
        <v>0.14932126696832571</v>
      </c>
      <c r="Q36" s="7">
        <f t="shared" si="63"/>
        <v>0.3433476394849786</v>
      </c>
      <c r="R36" s="7">
        <f t="shared" si="63"/>
        <v>0.15914489311163904</v>
      </c>
    </row>
    <row r="37" spans="1:41" s="7" customFormat="1" x14ac:dyDescent="0.2">
      <c r="A37" s="7" t="s">
        <v>59</v>
      </c>
      <c r="F37" s="7">
        <f t="shared" ref="F37:L37" si="64">+F19/B19-1</f>
        <v>9.986504723346834E-2</v>
      </c>
      <c r="G37" s="7">
        <f t="shared" si="64"/>
        <v>9.2493297587131318E-2</v>
      </c>
      <c r="H37" s="7">
        <f t="shared" si="64"/>
        <v>6.0927152317880706E-2</v>
      </c>
      <c r="I37" s="7">
        <f t="shared" si="64"/>
        <v>3.2663316582914659E-2</v>
      </c>
      <c r="J37" s="7">
        <f t="shared" si="64"/>
        <v>-0.11533742331288344</v>
      </c>
      <c r="K37" s="7">
        <f t="shared" si="64"/>
        <v>-8.8343558282208634E-2</v>
      </c>
      <c r="L37" s="7">
        <f t="shared" si="64"/>
        <v>-7.7403245942571752E-2</v>
      </c>
      <c r="M37" s="7">
        <f t="shared" si="63"/>
        <v>-6.326034063260344E-2</v>
      </c>
      <c r="N37" s="7">
        <f t="shared" si="63"/>
        <v>2.9126213592232997E-2</v>
      </c>
      <c r="O37" s="7">
        <f t="shared" si="63"/>
        <v>-3.3647375504710642E-2</v>
      </c>
      <c r="P37" s="7">
        <f t="shared" si="63"/>
        <v>9.4722598105547728E-3</v>
      </c>
      <c r="Q37" s="7">
        <f t="shared" si="63"/>
        <v>3.8961038961038419E-3</v>
      </c>
      <c r="R37" s="7">
        <f t="shared" si="63"/>
        <v>-1.4824797843665749E-2</v>
      </c>
    </row>
    <row r="38" spans="1:41" s="7" customFormat="1" x14ac:dyDescent="0.2">
      <c r="A38" s="7" t="s">
        <v>60</v>
      </c>
      <c r="F38" s="7">
        <f t="shared" ref="F38:L38" si="65">+F20/B20-1</f>
        <v>0.15839694656488557</v>
      </c>
      <c r="G38" s="7">
        <f t="shared" si="65"/>
        <v>-1.5325670498084309E-2</v>
      </c>
      <c r="H38" s="7">
        <f t="shared" si="65"/>
        <v>-7.0281124497991954E-2</v>
      </c>
      <c r="I38" s="7">
        <f t="shared" si="65"/>
        <v>-9.6491228070175405E-2</v>
      </c>
      <c r="J38" s="7">
        <f t="shared" si="65"/>
        <v>-0.16474464579901149</v>
      </c>
      <c r="K38" s="7">
        <f t="shared" si="65"/>
        <v>-4.4747081712062209E-2</v>
      </c>
      <c r="L38" s="7">
        <f t="shared" si="65"/>
        <v>9.5032397408207236E-2</v>
      </c>
      <c r="M38" s="7">
        <f t="shared" si="63"/>
        <v>7.5728155339805925E-2</v>
      </c>
      <c r="N38" s="7">
        <f t="shared" si="63"/>
        <v>-8.4812623274161725E-2</v>
      </c>
      <c r="O38" s="7">
        <f t="shared" si="63"/>
        <v>0.16089613034623218</v>
      </c>
      <c r="P38" s="7">
        <f t="shared" si="63"/>
        <v>2.3668639053254337E-2</v>
      </c>
      <c r="Q38" s="7">
        <f t="shared" si="63"/>
        <v>7.2202166064981865E-2</v>
      </c>
      <c r="R38" s="7">
        <f t="shared" si="63"/>
        <v>8.405172413793105E-2</v>
      </c>
    </row>
    <row r="40" spans="1:41" x14ac:dyDescent="0.2">
      <c r="A40" t="s">
        <v>41</v>
      </c>
      <c r="I40" s="1">
        <f t="shared" ref="I40:R40" si="66">+I41-I54</f>
        <v>5469</v>
      </c>
      <c r="J40" s="1">
        <f t="shared" si="66"/>
        <v>4811</v>
      </c>
      <c r="K40" s="1">
        <f t="shared" si="66"/>
        <v>3896</v>
      </c>
      <c r="L40" s="1">
        <f t="shared" si="66"/>
        <v>4762</v>
      </c>
      <c r="M40" s="1">
        <f t="shared" si="66"/>
        <v>7657</v>
      </c>
      <c r="N40" s="1">
        <f t="shared" si="66"/>
        <v>8044</v>
      </c>
      <c r="O40" s="1">
        <f t="shared" si="66"/>
        <v>8542</v>
      </c>
      <c r="P40" s="1">
        <f t="shared" si="66"/>
        <v>6225</v>
      </c>
      <c r="Q40" s="1">
        <f t="shared" si="66"/>
        <v>5527</v>
      </c>
      <c r="R40" s="1">
        <f t="shared" si="66"/>
        <v>4407</v>
      </c>
      <c r="AB40" s="1">
        <f>+Q40</f>
        <v>5527</v>
      </c>
      <c r="AC40" s="1">
        <f>+AB40+AC26</f>
        <v>10535.971630000002</v>
      </c>
      <c r="AD40" s="1">
        <f t="shared" ref="AD40:AL40" si="67">+AC40+AD26</f>
        <v>16134.198139642001</v>
      </c>
      <c r="AE40" s="1">
        <f t="shared" si="67"/>
        <v>22358.509691884625</v>
      </c>
      <c r="AF40" s="1">
        <f t="shared" si="67"/>
        <v>29012.424484836574</v>
      </c>
      <c r="AG40" s="1">
        <f t="shared" si="67"/>
        <v>36149.194544267346</v>
      </c>
      <c r="AH40" s="1">
        <f t="shared" si="67"/>
        <v>43788.957437892444</v>
      </c>
      <c r="AI40" s="1">
        <f t="shared" si="67"/>
        <v>51629.486364426673</v>
      </c>
      <c r="AJ40" s="1">
        <f t="shared" si="67"/>
        <v>60331.236164148177</v>
      </c>
      <c r="AK40" s="1">
        <f t="shared" si="67"/>
        <v>69601.008911302881</v>
      </c>
      <c r="AL40" s="1">
        <f t="shared" si="67"/>
        <v>79462.228359011089</v>
      </c>
    </row>
    <row r="41" spans="1:41" x14ac:dyDescent="0.2">
      <c r="A41" t="s">
        <v>3</v>
      </c>
      <c r="I41" s="1">
        <f>7776+3092+5018</f>
        <v>15886</v>
      </c>
      <c r="J41" s="1">
        <f>7101+3559+4632</f>
        <v>15292</v>
      </c>
      <c r="K41" s="1">
        <f>5504+4398+4543</f>
        <v>14445</v>
      </c>
      <c r="L41" s="1">
        <f>6816+4731+3855</f>
        <v>15402</v>
      </c>
      <c r="M41" s="1">
        <f>9081+4979+3273</f>
        <v>17333</v>
      </c>
      <c r="N41" s="1">
        <f>9693+4625+3409</f>
        <v>17727</v>
      </c>
      <c r="O41" s="1">
        <f>7701+5915+4653</f>
        <v>18269</v>
      </c>
      <c r="P41" s="1">
        <f>7272+4647+4282</f>
        <v>16201</v>
      </c>
      <c r="Q41" s="1">
        <f>6561+4262+4583</f>
        <v>15406</v>
      </c>
      <c r="R41" s="1">
        <f>7449+3762+4613</f>
        <v>15824</v>
      </c>
    </row>
    <row r="42" spans="1:41" x14ac:dyDescent="0.2">
      <c r="A42" t="s">
        <v>42</v>
      </c>
      <c r="I42" s="1">
        <f>963</f>
        <v>963</v>
      </c>
      <c r="J42" s="1">
        <f>967</f>
        <v>967</v>
      </c>
      <c r="K42" s="1">
        <f>928</f>
        <v>928</v>
      </c>
      <c r="L42" s="1">
        <f>988</f>
        <v>988</v>
      </c>
      <c r="M42" s="1">
        <f>1069</f>
        <v>1069</v>
      </c>
      <c r="N42" s="1">
        <v>1108</v>
      </c>
      <c r="O42" s="1">
        <v>987</v>
      </c>
      <c r="P42" s="1">
        <v>1038</v>
      </c>
      <c r="Q42" s="1">
        <v>984</v>
      </c>
      <c r="R42" s="1">
        <v>1082</v>
      </c>
    </row>
    <row r="43" spans="1:41" x14ac:dyDescent="0.2">
      <c r="A43" t="s">
        <v>70</v>
      </c>
      <c r="I43" s="1">
        <v>7431</v>
      </c>
      <c r="J43" s="1">
        <v>7495</v>
      </c>
      <c r="K43" s="1">
        <f>1903+5547</f>
        <v>7450</v>
      </c>
      <c r="L43" s="1">
        <f>2165+5066</f>
        <v>7231</v>
      </c>
      <c r="M43" s="1">
        <f>563+5433</f>
        <v>5996</v>
      </c>
      <c r="N43" s="1">
        <f>307+5202</f>
        <v>5509</v>
      </c>
      <c r="O43" s="1">
        <f>369+5319</f>
        <v>5688</v>
      </c>
      <c r="P43" s="1">
        <f>471+6003</f>
        <v>6474</v>
      </c>
      <c r="Q43" s="1">
        <f>541+6422</f>
        <v>6963</v>
      </c>
      <c r="R43" s="1">
        <f>714+6511</f>
        <v>7225</v>
      </c>
    </row>
    <row r="44" spans="1:41" x14ac:dyDescent="0.2">
      <c r="A44" t="s">
        <v>83</v>
      </c>
      <c r="I44" s="1">
        <v>36357</v>
      </c>
      <c r="J44" s="1">
        <v>35276</v>
      </c>
      <c r="K44" s="1">
        <v>33643</v>
      </c>
      <c r="L44" s="1">
        <v>34641</v>
      </c>
      <c r="M44" s="1">
        <v>38935</v>
      </c>
      <c r="N44" s="1">
        <v>38353</v>
      </c>
      <c r="O44" s="1">
        <v>38727</v>
      </c>
      <c r="P44" s="1">
        <v>39182</v>
      </c>
      <c r="Q44" s="1">
        <v>37671</v>
      </c>
      <c r="R44" s="1">
        <v>39205</v>
      </c>
    </row>
    <row r="45" spans="1:41" x14ac:dyDescent="0.2">
      <c r="A45" t="s">
        <v>43</v>
      </c>
      <c r="I45" s="1">
        <v>1898</v>
      </c>
      <c r="J45" s="1">
        <v>2162</v>
      </c>
      <c r="K45" s="1">
        <v>2202</v>
      </c>
      <c r="L45" s="1">
        <v>2228</v>
      </c>
      <c r="M45" s="1">
        <v>2509</v>
      </c>
      <c r="N45" s="1">
        <v>4418</v>
      </c>
      <c r="O45" s="1">
        <v>3954</v>
      </c>
      <c r="P45" s="1">
        <v>4060</v>
      </c>
      <c r="Q45" s="1">
        <v>4651</v>
      </c>
      <c r="R45" s="1">
        <v>1888</v>
      </c>
    </row>
    <row r="46" spans="1:41" x14ac:dyDescent="0.2">
      <c r="A46" t="s">
        <v>44</v>
      </c>
      <c r="I46" s="1">
        <v>1730</v>
      </c>
      <c r="J46" s="1">
        <v>1633</v>
      </c>
      <c r="K46" s="1">
        <v>1589</v>
      </c>
      <c r="L46" s="1">
        <v>1529</v>
      </c>
      <c r="M46" s="1">
        <v>1488</v>
      </c>
      <c r="N46" s="1">
        <v>1426</v>
      </c>
      <c r="O46" s="1">
        <v>1459</v>
      </c>
      <c r="P46" s="1">
        <v>1496</v>
      </c>
      <c r="Q46" s="1">
        <v>1508</v>
      </c>
      <c r="R46" s="1">
        <v>1537</v>
      </c>
    </row>
    <row r="47" spans="1:41" x14ac:dyDescent="0.2">
      <c r="A47" t="s">
        <v>45</v>
      </c>
      <c r="I47" s="1">
        <f>11209+788</f>
        <v>11997</v>
      </c>
      <c r="J47" s="1">
        <f>11195+730</f>
        <v>11925</v>
      </c>
      <c r="K47" s="1">
        <f>11067+640</f>
        <v>11707</v>
      </c>
      <c r="L47" s="1">
        <f>10935+564</f>
        <v>11499</v>
      </c>
      <c r="M47" s="1">
        <f>11026+537</f>
        <v>11563</v>
      </c>
      <c r="N47" s="1">
        <v>10916</v>
      </c>
      <c r="O47" s="1">
        <f>10816+403</f>
        <v>11219</v>
      </c>
      <c r="P47" s="1">
        <f>10996+393</f>
        <v>11389</v>
      </c>
      <c r="Q47" s="1">
        <f>10837+326</f>
        <v>11163</v>
      </c>
      <c r="R47" s="1">
        <f>10910+296</f>
        <v>11206</v>
      </c>
    </row>
    <row r="48" spans="1:41" x14ac:dyDescent="0.2">
      <c r="A48" t="s">
        <v>46</v>
      </c>
      <c r="I48" s="1">
        <v>2455</v>
      </c>
      <c r="J48" s="1">
        <v>2436</v>
      </c>
      <c r="K48" s="1">
        <v>2615</v>
      </c>
      <c r="L48" s="1">
        <v>2922</v>
      </c>
      <c r="M48" s="1">
        <v>3273</v>
      </c>
      <c r="N48" s="1">
        <v>3425</v>
      </c>
      <c r="O48" s="1">
        <v>3713</v>
      </c>
      <c r="P48" s="1">
        <v>3671</v>
      </c>
      <c r="Q48" s="1">
        <v>3265</v>
      </c>
      <c r="R48" s="1">
        <v>3307</v>
      </c>
    </row>
    <row r="49" spans="1:38" s="4" customFormat="1" x14ac:dyDescent="0.2">
      <c r="A49" s="4" t="s">
        <v>47</v>
      </c>
      <c r="B49" s="5"/>
      <c r="C49" s="5"/>
      <c r="D49" s="5"/>
      <c r="E49" s="5"/>
      <c r="F49" s="5"/>
      <c r="G49" s="5"/>
      <c r="H49" s="5"/>
      <c r="I49" s="5">
        <f t="shared" ref="I49:Q49" si="68">SUM(I41:I48)</f>
        <v>78717</v>
      </c>
      <c r="J49" s="5">
        <f t="shared" si="68"/>
        <v>77186</v>
      </c>
      <c r="K49" s="5">
        <f t="shared" si="68"/>
        <v>74579</v>
      </c>
      <c r="L49" s="5">
        <f t="shared" si="68"/>
        <v>76440</v>
      </c>
      <c r="M49" s="5">
        <f t="shared" si="68"/>
        <v>82166</v>
      </c>
      <c r="N49" s="5">
        <f t="shared" si="68"/>
        <v>82882</v>
      </c>
      <c r="O49" s="5">
        <f t="shared" si="68"/>
        <v>84016</v>
      </c>
      <c r="P49" s="5">
        <f t="shared" si="68"/>
        <v>83511</v>
      </c>
      <c r="Q49" s="5">
        <f t="shared" si="68"/>
        <v>81611</v>
      </c>
      <c r="R49" s="5">
        <f t="shared" ref="R49" si="69">SUM(R41:R48)</f>
        <v>81274</v>
      </c>
      <c r="S49" s="5"/>
      <c r="T49" s="5"/>
      <c r="U49" s="5"/>
      <c r="V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t="s">
        <v>48</v>
      </c>
      <c r="I50" s="1">
        <f>126</f>
        <v>126</v>
      </c>
      <c r="J50" s="1">
        <f>142</f>
        <v>142</v>
      </c>
      <c r="K50" s="1">
        <f>137</f>
        <v>137</v>
      </c>
      <c r="L50" s="1">
        <f>131</f>
        <v>131</v>
      </c>
      <c r="M50" s="1">
        <f>139</f>
        <v>139</v>
      </c>
      <c r="N50" s="1">
        <v>108</v>
      </c>
      <c r="O50" s="1">
        <v>133</v>
      </c>
      <c r="P50" s="1">
        <v>165</v>
      </c>
      <c r="Q50" s="1">
        <v>227</v>
      </c>
      <c r="R50" s="1">
        <v>175</v>
      </c>
    </row>
    <row r="51" spans="1:38" x14ac:dyDescent="0.2">
      <c r="A51" t="s">
        <v>83</v>
      </c>
      <c r="I51" s="1">
        <v>40107</v>
      </c>
      <c r="J51" s="1">
        <v>39026</v>
      </c>
      <c r="K51" s="1">
        <v>37393</v>
      </c>
      <c r="L51" s="1">
        <v>38641</v>
      </c>
      <c r="M51" s="1">
        <v>41935</v>
      </c>
      <c r="N51" s="1">
        <v>41353</v>
      </c>
      <c r="O51" s="1">
        <v>41727</v>
      </c>
      <c r="P51" s="1">
        <v>41182</v>
      </c>
      <c r="Q51" s="1">
        <v>39671</v>
      </c>
      <c r="R51" s="1">
        <v>41205</v>
      </c>
    </row>
    <row r="52" spans="1:38" x14ac:dyDescent="0.2">
      <c r="A52" t="s">
        <v>49</v>
      </c>
      <c r="I52" s="1">
        <v>4055</v>
      </c>
      <c r="J52" s="1">
        <v>4164</v>
      </c>
      <c r="K52" s="1">
        <v>3433</v>
      </c>
      <c r="L52" s="1">
        <v>3533</v>
      </c>
      <c r="M52" s="1">
        <v>6392</v>
      </c>
      <c r="N52" s="1">
        <v>8385</v>
      </c>
      <c r="O52" s="1">
        <v>8853</v>
      </c>
      <c r="P52" s="1">
        <v>8921</v>
      </c>
      <c r="Q52" s="1">
        <v>8478</v>
      </c>
      <c r="R52" s="1">
        <v>5242</v>
      </c>
    </row>
    <row r="53" spans="1:38" x14ac:dyDescent="0.2">
      <c r="A53" t="s">
        <v>46</v>
      </c>
      <c r="I53" s="1">
        <f>813+2925</f>
        <v>3738</v>
      </c>
      <c r="J53" s="1">
        <f>577+2938</f>
        <v>3515</v>
      </c>
      <c r="K53" s="1">
        <f>791+2615</f>
        <v>3406</v>
      </c>
      <c r="L53" s="1">
        <f>1137+2618</f>
        <v>3755</v>
      </c>
      <c r="M53" s="1">
        <v>2973</v>
      </c>
      <c r="N53" s="1">
        <v>3116</v>
      </c>
      <c r="O53" s="1">
        <v>2954</v>
      </c>
      <c r="P53" s="1">
        <v>3093</v>
      </c>
      <c r="Q53" s="1">
        <v>2939</v>
      </c>
      <c r="R53" s="1">
        <v>2981</v>
      </c>
    </row>
    <row r="54" spans="1:38" x14ac:dyDescent="0.2">
      <c r="A54" t="s">
        <v>4</v>
      </c>
      <c r="I54" s="1">
        <v>10417</v>
      </c>
      <c r="J54" s="1">
        <v>10481</v>
      </c>
      <c r="K54" s="1">
        <v>10549</v>
      </c>
      <c r="L54" s="1">
        <v>10640</v>
      </c>
      <c r="M54" s="1">
        <v>9676</v>
      </c>
      <c r="N54" s="1">
        <v>9683</v>
      </c>
      <c r="O54" s="1">
        <v>9727</v>
      </c>
      <c r="P54" s="1">
        <v>9976</v>
      </c>
      <c r="Q54" s="1">
        <v>9879</v>
      </c>
      <c r="R54" s="1">
        <v>11417</v>
      </c>
    </row>
    <row r="55" spans="1:38" s="4" customFormat="1" x14ac:dyDescent="0.2">
      <c r="A55" s="4" t="s">
        <v>51</v>
      </c>
      <c r="B55" s="5"/>
      <c r="C55" s="5"/>
      <c r="D55" s="5"/>
      <c r="E55" s="5"/>
      <c r="F55" s="5"/>
      <c r="G55" s="5"/>
      <c r="H55" s="5"/>
      <c r="I55" s="5">
        <f t="shared" ref="I55:Q55" si="70">SUM(I50:I54)</f>
        <v>58443</v>
      </c>
      <c r="J55" s="5">
        <f t="shared" si="70"/>
        <v>57328</v>
      </c>
      <c r="K55" s="5">
        <f t="shared" si="70"/>
        <v>54918</v>
      </c>
      <c r="L55" s="5">
        <f t="shared" si="70"/>
        <v>56700</v>
      </c>
      <c r="M55" s="5">
        <f t="shared" si="70"/>
        <v>61115</v>
      </c>
      <c r="N55" s="5">
        <f t="shared" si="70"/>
        <v>62645</v>
      </c>
      <c r="O55" s="5">
        <f t="shared" si="70"/>
        <v>63394</v>
      </c>
      <c r="P55" s="5">
        <f t="shared" si="70"/>
        <v>63337</v>
      </c>
      <c r="Q55" s="5">
        <f t="shared" si="70"/>
        <v>61194</v>
      </c>
      <c r="R55" s="5">
        <f t="shared" ref="R55" si="71">SUM(R50:R54)</f>
        <v>61020</v>
      </c>
      <c r="S55" s="5"/>
      <c r="T55" s="5"/>
      <c r="U55" s="5"/>
      <c r="V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t="s">
        <v>52</v>
      </c>
      <c r="I56" s="1">
        <f>+I49-I55</f>
        <v>20274</v>
      </c>
      <c r="J56" s="1">
        <f>+J49-J55</f>
        <v>19858</v>
      </c>
      <c r="K56" s="1">
        <f>+K49-K55</f>
        <v>19661</v>
      </c>
      <c r="L56" s="1">
        <f>+L49-L55</f>
        <v>19740</v>
      </c>
      <c r="M56" s="1">
        <f>+M49-M55</f>
        <v>21051</v>
      </c>
      <c r="N56" s="1">
        <v>20702</v>
      </c>
      <c r="O56" s="1">
        <v>20622</v>
      </c>
      <c r="P56" s="1">
        <v>20174</v>
      </c>
      <c r="Q56" s="1">
        <v>20417</v>
      </c>
      <c r="R56" s="1">
        <v>20417</v>
      </c>
    </row>
    <row r="57" spans="1:38" x14ac:dyDescent="0.2">
      <c r="A57" t="s">
        <v>53</v>
      </c>
      <c r="I57" s="1">
        <f t="shared" ref="I57:Q57" si="72">+I56+I55</f>
        <v>78717</v>
      </c>
      <c r="J57" s="1">
        <f t="shared" si="72"/>
        <v>77186</v>
      </c>
      <c r="K57" s="1">
        <f t="shared" si="72"/>
        <v>74579</v>
      </c>
      <c r="L57" s="1">
        <f t="shared" si="72"/>
        <v>76440</v>
      </c>
      <c r="M57" s="1">
        <f t="shared" si="72"/>
        <v>82166</v>
      </c>
      <c r="N57" s="1">
        <f t="shared" si="72"/>
        <v>83347</v>
      </c>
      <c r="O57" s="1">
        <f t="shared" si="72"/>
        <v>84016</v>
      </c>
      <c r="P57" s="1">
        <f t="shared" si="72"/>
        <v>83511</v>
      </c>
      <c r="Q57" s="1">
        <f t="shared" si="72"/>
        <v>81611</v>
      </c>
      <c r="R57" s="1">
        <f t="shared" ref="R57" si="73">+R56+R55</f>
        <v>81437</v>
      </c>
    </row>
    <row r="59" spans="1:38" x14ac:dyDescent="0.2">
      <c r="A59" t="s">
        <v>61</v>
      </c>
      <c r="M59" s="1">
        <f t="shared" ref="M59:R59" si="74">+M26</f>
        <v>1091</v>
      </c>
      <c r="N59" s="1">
        <f t="shared" si="74"/>
        <v>1100</v>
      </c>
      <c r="O59" s="1">
        <f t="shared" si="74"/>
        <v>1241</v>
      </c>
      <c r="P59" s="1">
        <f t="shared" si="74"/>
        <v>1073</v>
      </c>
      <c r="Q59" s="1">
        <f t="shared" si="74"/>
        <v>1171</v>
      </c>
      <c r="R59" s="1">
        <f t="shared" si="74"/>
        <v>1353</v>
      </c>
    </row>
    <row r="60" spans="1:38" x14ac:dyDescent="0.2">
      <c r="A60" t="s">
        <v>62</v>
      </c>
      <c r="M60" s="1">
        <v>1402</v>
      </c>
      <c r="N60" s="1">
        <v>888</v>
      </c>
      <c r="O60" s="1">
        <v>1128</v>
      </c>
      <c r="P60" s="1">
        <v>1010</v>
      </c>
      <c r="Q60" s="1">
        <v>1121</v>
      </c>
      <c r="R60" s="1">
        <v>1287</v>
      </c>
    </row>
    <row r="61" spans="1:38" x14ac:dyDescent="0.2">
      <c r="A61" t="s">
        <v>84</v>
      </c>
      <c r="M61" s="1">
        <v>396</v>
      </c>
      <c r="N61" s="1">
        <v>321</v>
      </c>
      <c r="O61" s="1">
        <v>335</v>
      </c>
      <c r="P61" s="1">
        <v>352</v>
      </c>
      <c r="Q61" s="1">
        <v>434</v>
      </c>
      <c r="R61" s="1">
        <v>371</v>
      </c>
    </row>
    <row r="62" spans="1:38" x14ac:dyDescent="0.2">
      <c r="A62" t="s">
        <v>63</v>
      </c>
      <c r="M62" s="1">
        <v>263</v>
      </c>
      <c r="N62" s="1">
        <v>265</v>
      </c>
      <c r="O62" s="1">
        <v>263</v>
      </c>
      <c r="P62" s="1">
        <v>255</v>
      </c>
      <c r="Q62" s="1">
        <v>249</v>
      </c>
      <c r="R62" s="1">
        <v>245</v>
      </c>
    </row>
    <row r="63" spans="1:38" x14ac:dyDescent="0.2">
      <c r="A63" t="s">
        <v>64</v>
      </c>
      <c r="M63" s="1">
        <v>388</v>
      </c>
      <c r="N63" s="1">
        <v>365</v>
      </c>
      <c r="O63" s="1">
        <v>298</v>
      </c>
      <c r="P63" s="1">
        <v>284</v>
      </c>
      <c r="Q63" s="1">
        <v>283</v>
      </c>
      <c r="R63" s="1">
        <v>249</v>
      </c>
    </row>
    <row r="64" spans="1:38" x14ac:dyDescent="0.2">
      <c r="A64" t="s">
        <v>50</v>
      </c>
      <c r="M64" s="1">
        <v>-229</v>
      </c>
      <c r="N64" s="1">
        <v>52</v>
      </c>
      <c r="O64" s="1">
        <v>-23</v>
      </c>
      <c r="P64" s="1">
        <v>-21</v>
      </c>
      <c r="Q64" s="1">
        <v>223</v>
      </c>
      <c r="R64" s="1">
        <v>-6</v>
      </c>
    </row>
    <row r="65" spans="1:38" x14ac:dyDescent="0.2">
      <c r="A65" t="s">
        <v>85</v>
      </c>
      <c r="M65" s="1">
        <v>4</v>
      </c>
      <c r="N65" s="1">
        <v>49</v>
      </c>
      <c r="O65" s="1">
        <v>6</v>
      </c>
      <c r="P65" s="1">
        <v>171</v>
      </c>
      <c r="Q65" s="1">
        <v>59</v>
      </c>
      <c r="R65" s="1">
        <v>-48</v>
      </c>
    </row>
    <row r="66" spans="1:38" x14ac:dyDescent="0.2">
      <c r="A66" t="s">
        <v>78</v>
      </c>
      <c r="M66" s="1">
        <v>-356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38" x14ac:dyDescent="0.2">
      <c r="A67" t="s">
        <v>86</v>
      </c>
      <c r="M67" s="1">
        <v>-102</v>
      </c>
      <c r="N67" s="1">
        <v>-75</v>
      </c>
      <c r="O67" s="1">
        <v>-122</v>
      </c>
      <c r="P67" s="1">
        <v>-93</v>
      </c>
      <c r="Q67" s="1">
        <v>-45</v>
      </c>
      <c r="R67" s="1">
        <v>-30</v>
      </c>
    </row>
    <row r="68" spans="1:38" x14ac:dyDescent="0.2">
      <c r="A68" t="s">
        <v>87</v>
      </c>
      <c r="M68" s="1">
        <v>4</v>
      </c>
      <c r="N68" s="1">
        <v>37</v>
      </c>
      <c r="O68" s="1">
        <v>27</v>
      </c>
      <c r="P68" s="1">
        <v>28</v>
      </c>
      <c r="Q68" s="1">
        <v>33</v>
      </c>
      <c r="R68" s="1">
        <v>25</v>
      </c>
    </row>
    <row r="69" spans="1:38" x14ac:dyDescent="0.2">
      <c r="A69" t="s">
        <v>46</v>
      </c>
      <c r="M69" s="1">
        <v>-102</v>
      </c>
      <c r="N69" s="1">
        <v>13</v>
      </c>
      <c r="O69" s="1">
        <v>-55</v>
      </c>
      <c r="P69" s="1">
        <v>-96</v>
      </c>
      <c r="Q69" s="1">
        <v>135</v>
      </c>
      <c r="R69" s="1">
        <v>-73</v>
      </c>
    </row>
    <row r="70" spans="1:38" x14ac:dyDescent="0.2">
      <c r="A70" t="s">
        <v>69</v>
      </c>
      <c r="M70" s="1">
        <f>+-5765+7119</f>
        <v>1354</v>
      </c>
      <c r="N70" s="1">
        <f>-5345+5232</f>
        <v>-113</v>
      </c>
      <c r="O70" s="1">
        <f>-5720+5943</f>
        <v>223</v>
      </c>
      <c r="P70" s="1">
        <f>-6108+5984</f>
        <v>-124</v>
      </c>
      <c r="Q70" s="1">
        <f>-7325+7193</f>
        <v>-132</v>
      </c>
      <c r="R70" s="1">
        <f>-6629+6445</f>
        <v>-184</v>
      </c>
    </row>
    <row r="71" spans="1:38" x14ac:dyDescent="0.2">
      <c r="A71" t="s">
        <v>66</v>
      </c>
      <c r="M71" s="1">
        <f>+-79+13-342</f>
        <v>-408</v>
      </c>
      <c r="N71" s="1">
        <f>-39-22+176</f>
        <v>115</v>
      </c>
      <c r="O71" s="1">
        <f>121+11-687</f>
        <v>-555</v>
      </c>
      <c r="P71" s="1">
        <f>-51+35-136</f>
        <v>-152</v>
      </c>
      <c r="Q71" s="1">
        <f>54+59-79</f>
        <v>34</v>
      </c>
      <c r="R71" s="1">
        <f>-98-52-526</f>
        <v>-676</v>
      </c>
    </row>
    <row r="72" spans="1:38" s="4" customFormat="1" x14ac:dyDescent="0.2">
      <c r="A72" s="4" t="s">
        <v>67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>
        <f t="shared" ref="M72:R72" si="75">SUM(M60:M71)</f>
        <v>2614</v>
      </c>
      <c r="N72" s="5">
        <f t="shared" si="75"/>
        <v>1917</v>
      </c>
      <c r="O72" s="5">
        <f t="shared" si="75"/>
        <v>1525</v>
      </c>
      <c r="P72" s="5">
        <f t="shared" si="75"/>
        <v>1614</v>
      </c>
      <c r="Q72" s="5">
        <f t="shared" si="75"/>
        <v>2394</v>
      </c>
      <c r="R72" s="5">
        <f t="shared" si="75"/>
        <v>1160</v>
      </c>
      <c r="S72" s="5"/>
      <c r="T72" s="5"/>
      <c r="U72" s="5"/>
      <c r="V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4" spans="1:38" s="4" customFormat="1" x14ac:dyDescent="0.2">
      <c r="A74" s="4" t="s">
        <v>68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>
        <f>+-145+1</f>
        <v>-144</v>
      </c>
      <c r="N74" s="5">
        <v>-154</v>
      </c>
      <c r="O74" s="5">
        <v>-157</v>
      </c>
      <c r="P74" s="5">
        <v>-169</v>
      </c>
      <c r="Q74" s="5">
        <f>-203+1</f>
        <v>-202</v>
      </c>
      <c r="R74" s="5">
        <f>-196+2</f>
        <v>-194</v>
      </c>
      <c r="S74" s="5"/>
      <c r="T74" s="5"/>
      <c r="U74" s="5"/>
      <c r="V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t="s">
        <v>70</v>
      </c>
      <c r="M75" s="1">
        <f>-5396+5341</f>
        <v>-55</v>
      </c>
      <c r="N75" s="1">
        <f>-4779+4827</f>
        <v>48</v>
      </c>
      <c r="O75" s="1">
        <f>-5182+4933</f>
        <v>-249</v>
      </c>
      <c r="P75" s="1">
        <f>-5413+4945</f>
        <v>-468</v>
      </c>
      <c r="Q75" s="1">
        <f>-6433+5567</f>
        <v>-866</v>
      </c>
      <c r="R75" s="1">
        <f>-5508+5477</f>
        <v>-31</v>
      </c>
    </row>
    <row r="76" spans="1:38" x14ac:dyDescent="0.2">
      <c r="A76" t="s">
        <v>65</v>
      </c>
      <c r="M76" s="1">
        <f>-7005+8185+466</f>
        <v>1646</v>
      </c>
      <c r="N76" s="1">
        <f>-7081+9242</f>
        <v>2161</v>
      </c>
      <c r="O76" s="1">
        <f>-8923+4999</f>
        <v>-3924</v>
      </c>
      <c r="P76" s="1">
        <f>-4815+6938</f>
        <v>2123</v>
      </c>
      <c r="Q76" s="1">
        <f>-5390+5783</f>
        <v>393</v>
      </c>
      <c r="R76" s="1">
        <f>-5970+5465-200+87</f>
        <v>-618</v>
      </c>
    </row>
    <row r="77" spans="1:38" x14ac:dyDescent="0.2">
      <c r="A77" t="s">
        <v>72</v>
      </c>
      <c r="M77" s="1">
        <v>-1927</v>
      </c>
      <c r="N77" s="1">
        <v>-1169</v>
      </c>
      <c r="O77" s="1">
        <v>-198</v>
      </c>
      <c r="P77" s="1">
        <v>1519</v>
      </c>
      <c r="Q77" s="1">
        <v>2756</v>
      </c>
      <c r="R77" s="1">
        <v>-2741</v>
      </c>
    </row>
    <row r="78" spans="1:38" x14ac:dyDescent="0.2">
      <c r="A78" t="s">
        <v>73</v>
      </c>
      <c r="M78" s="1">
        <v>-64</v>
      </c>
      <c r="N78" s="1">
        <v>74</v>
      </c>
      <c r="O78" s="1">
        <v>1</v>
      </c>
      <c r="P78" s="1">
        <v>-133</v>
      </c>
      <c r="Q78" s="1">
        <v>131</v>
      </c>
      <c r="R78" s="1">
        <v>-53</v>
      </c>
    </row>
    <row r="79" spans="1:38" x14ac:dyDescent="0.2">
      <c r="A79" t="s">
        <v>46</v>
      </c>
      <c r="M79" s="1">
        <v>10</v>
      </c>
      <c r="N79" s="1">
        <v>20</v>
      </c>
      <c r="O79" s="1">
        <v>-120</v>
      </c>
      <c r="P79" s="1">
        <f>-148+75</f>
        <v>-73</v>
      </c>
      <c r="Q79" s="1">
        <f>259-125+111</f>
        <v>245</v>
      </c>
      <c r="R79" s="1">
        <v>-20</v>
      </c>
    </row>
    <row r="80" spans="1:38" x14ac:dyDescent="0.2">
      <c r="A80" t="s">
        <v>71</v>
      </c>
      <c r="M80" s="1">
        <f t="shared" ref="M80:R80" si="76">SUM(M74:M79)</f>
        <v>-534</v>
      </c>
      <c r="N80" s="1">
        <f t="shared" si="76"/>
        <v>980</v>
      </c>
      <c r="O80" s="1">
        <f t="shared" si="76"/>
        <v>-4647</v>
      </c>
      <c r="P80" s="1">
        <f t="shared" si="76"/>
        <v>2799</v>
      </c>
      <c r="Q80" s="1">
        <f t="shared" si="76"/>
        <v>2457</v>
      </c>
      <c r="R80" s="1">
        <f t="shared" si="76"/>
        <v>-3657</v>
      </c>
    </row>
    <row r="82" spans="1:18" x14ac:dyDescent="0.2">
      <c r="A82" t="s">
        <v>88</v>
      </c>
      <c r="M82" s="1">
        <v>45</v>
      </c>
      <c r="N82" s="1">
        <v>0</v>
      </c>
      <c r="O82" s="1">
        <v>55</v>
      </c>
      <c r="P82" s="1">
        <v>0</v>
      </c>
      <c r="Q82" s="1">
        <v>40</v>
      </c>
      <c r="R82" s="1">
        <v>0</v>
      </c>
    </row>
    <row r="83" spans="1:18" x14ac:dyDescent="0.2">
      <c r="A83" t="s">
        <v>89</v>
      </c>
      <c r="M83" s="1">
        <v>-607</v>
      </c>
      <c r="N83" s="1">
        <v>-1501</v>
      </c>
      <c r="O83" s="1">
        <v>-1501</v>
      </c>
      <c r="P83" s="1">
        <v>-1776</v>
      </c>
      <c r="Q83" s="1">
        <v>-1269</v>
      </c>
      <c r="R83" s="1">
        <v>-1500</v>
      </c>
    </row>
    <row r="84" spans="1:18" x14ac:dyDescent="0.2">
      <c r="A84" t="s">
        <v>90</v>
      </c>
      <c r="M84" s="1">
        <v>-32</v>
      </c>
      <c r="N84" s="1">
        <v>-167</v>
      </c>
      <c r="O84" s="1">
        <v>-63</v>
      </c>
      <c r="P84" s="1">
        <v>-41</v>
      </c>
      <c r="Q84" s="1">
        <v>-80</v>
      </c>
      <c r="R84" s="1">
        <v>-277</v>
      </c>
    </row>
    <row r="85" spans="1:18" x14ac:dyDescent="0.2">
      <c r="A85" t="s">
        <v>91</v>
      </c>
      <c r="M85" s="1">
        <f>699-111</f>
        <v>588</v>
      </c>
      <c r="N85" s="1">
        <f>115-359</f>
        <v>-244</v>
      </c>
      <c r="O85" s="1">
        <f>1299-52</f>
        <v>1247</v>
      </c>
      <c r="P85" s="1">
        <f>466-466+132</f>
        <v>132</v>
      </c>
      <c r="Q85" s="1">
        <v>-1250</v>
      </c>
      <c r="R85" s="1">
        <v>1491</v>
      </c>
    </row>
    <row r="86" spans="1:18" x14ac:dyDescent="0.2">
      <c r="A86" t="s">
        <v>92</v>
      </c>
      <c r="M86" s="1">
        <v>3138</v>
      </c>
      <c r="N86" s="1">
        <v>-483</v>
      </c>
      <c r="O86" s="1">
        <v>445</v>
      </c>
      <c r="P86" s="1">
        <v>-733</v>
      </c>
      <c r="Q86" s="1">
        <v>-1183</v>
      </c>
      <c r="R86" s="1">
        <v>1417</v>
      </c>
    </row>
    <row r="87" spans="1:18" x14ac:dyDescent="0.2">
      <c r="A87" t="s">
        <v>73</v>
      </c>
      <c r="M87" s="1">
        <v>-132</v>
      </c>
      <c r="N87" s="1">
        <v>33</v>
      </c>
      <c r="O87" s="1">
        <v>37</v>
      </c>
      <c r="P87" s="1">
        <v>-71</v>
      </c>
      <c r="Q87" s="1">
        <v>157</v>
      </c>
      <c r="R87" s="1">
        <v>-135</v>
      </c>
    </row>
    <row r="88" spans="1:18" x14ac:dyDescent="0.2">
      <c r="A88" t="s">
        <v>46</v>
      </c>
      <c r="M88" s="1">
        <v>0</v>
      </c>
      <c r="N88" s="1">
        <v>0</v>
      </c>
      <c r="O88" s="1">
        <v>-20</v>
      </c>
      <c r="P88" s="1">
        <v>-40</v>
      </c>
      <c r="Q88" s="1">
        <v>0</v>
      </c>
      <c r="R88" s="1">
        <v>-2</v>
      </c>
    </row>
    <row r="89" spans="1:18" x14ac:dyDescent="0.2">
      <c r="A89" t="s">
        <v>74</v>
      </c>
      <c r="M89" s="1">
        <f t="shared" ref="M89:R89" si="77">SUM(M82:M88)</f>
        <v>3000</v>
      </c>
      <c r="N89" s="1">
        <f t="shared" si="77"/>
        <v>-2362</v>
      </c>
      <c r="O89" s="1">
        <f t="shared" si="77"/>
        <v>200</v>
      </c>
      <c r="P89" s="1">
        <f t="shared" si="77"/>
        <v>-2529</v>
      </c>
      <c r="Q89" s="1">
        <f t="shared" si="77"/>
        <v>-3585</v>
      </c>
      <c r="R89" s="1">
        <f t="shared" si="77"/>
        <v>994</v>
      </c>
    </row>
    <row r="91" spans="1:18" x14ac:dyDescent="0.2">
      <c r="A91" t="s">
        <v>75</v>
      </c>
      <c r="M91" s="1">
        <v>171</v>
      </c>
      <c r="N91" s="1">
        <v>-94</v>
      </c>
      <c r="O91" s="1">
        <v>5</v>
      </c>
      <c r="P91" s="1">
        <v>192</v>
      </c>
      <c r="Q91" s="1">
        <v>-310</v>
      </c>
      <c r="R91" s="1">
        <v>94</v>
      </c>
    </row>
    <row r="92" spans="1:18" x14ac:dyDescent="0.2">
      <c r="A92" t="s">
        <v>76</v>
      </c>
      <c r="M92" s="1">
        <f t="shared" ref="M92:R92" si="78">+M72+M80+M89+M91</f>
        <v>5251</v>
      </c>
      <c r="N92" s="1">
        <f t="shared" si="78"/>
        <v>441</v>
      </c>
      <c r="O92" s="1">
        <f t="shared" si="78"/>
        <v>-2917</v>
      </c>
      <c r="P92" s="1">
        <f t="shared" si="78"/>
        <v>2076</v>
      </c>
      <c r="Q92" s="1">
        <f t="shared" si="78"/>
        <v>956</v>
      </c>
      <c r="R92" s="1">
        <f t="shared" si="78"/>
        <v>-1409</v>
      </c>
    </row>
    <row r="94" spans="1:18" x14ac:dyDescent="0.2">
      <c r="A94" t="s">
        <v>77</v>
      </c>
      <c r="M94" s="1">
        <f t="shared" ref="M94:R94" si="79">+M72+M74</f>
        <v>2470</v>
      </c>
      <c r="N94" s="1">
        <f t="shared" si="79"/>
        <v>1763</v>
      </c>
      <c r="O94" s="1">
        <f t="shared" si="79"/>
        <v>1368</v>
      </c>
      <c r="P94" s="1">
        <f t="shared" si="79"/>
        <v>1445</v>
      </c>
      <c r="Q94" s="1">
        <f t="shared" si="79"/>
        <v>2192</v>
      </c>
      <c r="R94" s="1">
        <f t="shared" si="79"/>
        <v>966</v>
      </c>
    </row>
    <row r="95" spans="1:18" x14ac:dyDescent="0.2">
      <c r="A95" t="s">
        <v>93</v>
      </c>
      <c r="P95" s="1">
        <f>+SUM(M94:P94)</f>
        <v>7046</v>
      </c>
      <c r="Q95" s="1">
        <f>+SUM(N94:Q94)</f>
        <v>6768</v>
      </c>
      <c r="R95" s="1">
        <f>+SUM(O94:R94)</f>
        <v>5971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2024-03-30T16:16:25Z</dcterms:created>
  <dcterms:modified xsi:type="dcterms:W3CDTF">2025-04-29T18:15:50Z</dcterms:modified>
</cp:coreProperties>
</file>