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2D379937-F6BF-4533-B44E-8E13F1E214BD}" xr6:coauthVersionLast="47" xr6:coauthVersionMax="47" xr10:uidLastSave="{00000000-0000-0000-0000-000000000000}"/>
  <bookViews>
    <workbookView xWindow="0" yWindow="0" windowWidth="14400" windowHeight="15600" activeTab="1" xr2:uid="{04E56219-E48A-4DAD-BFCB-49D78297CA4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3" i="2" l="1"/>
  <c r="R99" i="2"/>
  <c r="R97" i="2"/>
  <c r="R96" i="2"/>
  <c r="R95" i="2"/>
  <c r="R92" i="2"/>
  <c r="R91" i="2"/>
  <c r="R90" i="2"/>
  <c r="R89" i="2"/>
  <c r="R86" i="2"/>
  <c r="R85" i="2"/>
  <c r="R84" i="2"/>
  <c r="R83" i="2"/>
  <c r="R82" i="2"/>
  <c r="R81" i="2"/>
  <c r="R79" i="2"/>
  <c r="R78" i="2"/>
  <c r="R77" i="2"/>
  <c r="R76" i="2"/>
  <c r="R75" i="2"/>
  <c r="R73" i="2"/>
  <c r="R70" i="2"/>
  <c r="R69" i="2"/>
  <c r="R68" i="2"/>
  <c r="R67" i="2"/>
  <c r="R101" i="2"/>
  <c r="R93" i="2"/>
  <c r="R66" i="2"/>
  <c r="R55" i="2"/>
  <c r="R48" i="2"/>
  <c r="R40" i="2"/>
  <c r="R63" i="2"/>
  <c r="R64" i="2" s="1"/>
  <c r="R59" i="2"/>
  <c r="R49" i="2"/>
  <c r="R39" i="2"/>
  <c r="J90" i="2"/>
  <c r="Q89" i="2"/>
  <c r="Q70" i="2"/>
  <c r="Q55" i="2"/>
  <c r="Q39" i="2" s="1"/>
  <c r="Q48" i="2"/>
  <c r="Q40" i="2"/>
  <c r="Q49" i="2"/>
  <c r="P80" i="2"/>
  <c r="Q80" i="2" s="1"/>
  <c r="Q86" i="2" s="1"/>
  <c r="Q87" i="2" s="1"/>
  <c r="P74" i="2"/>
  <c r="AJ95" i="2"/>
  <c r="AJ101" i="2" s="1"/>
  <c r="AJ89" i="2"/>
  <c r="AJ93" i="2" s="1"/>
  <c r="AJ70" i="2"/>
  <c r="AJ87" i="2" s="1"/>
  <c r="AJ86" i="2"/>
  <c r="P55" i="2"/>
  <c r="P54" i="2"/>
  <c r="P59" i="2" s="1"/>
  <c r="P53" i="2"/>
  <c r="P48" i="2"/>
  <c r="P40" i="2"/>
  <c r="K9" i="1"/>
  <c r="K6" i="1"/>
  <c r="K5" i="1"/>
  <c r="AK26" i="2"/>
  <c r="AJ31" i="2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J28" i="2"/>
  <c r="AJ26" i="2"/>
  <c r="AJ25" i="2"/>
  <c r="AJ22" i="2"/>
  <c r="AJ21" i="2"/>
  <c r="AJ20" i="2"/>
  <c r="AJ19" i="2"/>
  <c r="AJ4" i="2"/>
  <c r="AJ3" i="2"/>
  <c r="AJ15" i="2"/>
  <c r="AJ17" i="2"/>
  <c r="AJ16" i="2"/>
  <c r="N12" i="2"/>
  <c r="N11" i="2"/>
  <c r="R23" i="2"/>
  <c r="R18" i="2"/>
  <c r="R12" i="2"/>
  <c r="R11" i="2"/>
  <c r="R9" i="2"/>
  <c r="R13" i="2" s="1"/>
  <c r="R5" i="2"/>
  <c r="Q23" i="2"/>
  <c r="Q18" i="2"/>
  <c r="L11" i="2"/>
  <c r="L12" i="2"/>
  <c r="M12" i="2"/>
  <c r="M11" i="2"/>
  <c r="P12" i="2"/>
  <c r="P11" i="2"/>
  <c r="Q12" i="2"/>
  <c r="Q11" i="2"/>
  <c r="P9" i="2"/>
  <c r="P13" i="2" s="1"/>
  <c r="O9" i="2"/>
  <c r="N9" i="2"/>
  <c r="N13" i="2" s="1"/>
  <c r="M9" i="2"/>
  <c r="L9" i="2"/>
  <c r="K9" i="2"/>
  <c r="J9" i="2"/>
  <c r="I9" i="2"/>
  <c r="Q9" i="2"/>
  <c r="Q5" i="2"/>
  <c r="Q13" i="2" s="1"/>
  <c r="P5" i="2"/>
  <c r="P23" i="2"/>
  <c r="P18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N5" i="2"/>
  <c r="M5" i="2"/>
  <c r="L5" i="2"/>
  <c r="K5" i="2"/>
  <c r="J5" i="2"/>
  <c r="I5" i="2"/>
  <c r="H5" i="2"/>
  <c r="O5" i="2"/>
  <c r="AI18" i="2"/>
  <c r="R87" i="2" l="1"/>
  <c r="R106" i="2" s="1"/>
  <c r="R107" i="2" s="1"/>
  <c r="R60" i="2"/>
  <c r="R61" i="2" s="1"/>
  <c r="AJ23" i="2"/>
  <c r="P39" i="2"/>
  <c r="AJ104" i="2"/>
  <c r="AJ106" i="2"/>
  <c r="Q59" i="2"/>
  <c r="Q60" i="2" s="1"/>
  <c r="Q61" i="2" s="1"/>
  <c r="AJ5" i="2"/>
  <c r="L13" i="2"/>
  <c r="M13" i="2"/>
  <c r="Q106" i="2"/>
  <c r="P49" i="2"/>
  <c r="P60" i="2" s="1"/>
  <c r="P61" i="2" s="1"/>
  <c r="R24" i="2"/>
  <c r="R33" i="2" s="1"/>
  <c r="Q24" i="2"/>
  <c r="P24" i="2"/>
  <c r="AK22" i="2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K21" i="2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K20" i="2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K19" i="2"/>
  <c r="R104" i="2" l="1"/>
  <c r="R27" i="2"/>
  <c r="R35" i="2" s="1"/>
  <c r="Q27" i="2"/>
  <c r="Q33" i="2"/>
  <c r="P33" i="2"/>
  <c r="P27" i="2"/>
  <c r="AK23" i="2"/>
  <c r="AL19" i="2"/>
  <c r="AE70" i="2"/>
  <c r="AE86" i="2"/>
  <c r="AF86" i="2"/>
  <c r="AF70" i="2"/>
  <c r="AG70" i="2"/>
  <c r="AG86" i="2"/>
  <c r="AH70" i="2"/>
  <c r="AH86" i="2"/>
  <c r="AI86" i="2"/>
  <c r="AI70" i="2"/>
  <c r="U18" i="2"/>
  <c r="R29" i="2" l="1"/>
  <c r="R34" i="2" s="1"/>
  <c r="Q35" i="2"/>
  <c r="Q29" i="2"/>
  <c r="Q66" i="2" s="1"/>
  <c r="P35" i="2"/>
  <c r="P29" i="2"/>
  <c r="P66" i="2" s="1"/>
  <c r="AL23" i="2"/>
  <c r="AM19" i="2"/>
  <c r="AE87" i="2"/>
  <c r="AE106" i="2" s="1"/>
  <c r="AI87" i="2"/>
  <c r="AI106" i="2" s="1"/>
  <c r="AH87" i="2"/>
  <c r="AH106" i="2" s="1"/>
  <c r="AF87" i="2"/>
  <c r="AF106" i="2" s="1"/>
  <c r="AG87" i="2"/>
  <c r="AG106" i="2" s="1"/>
  <c r="R30" i="2" l="1"/>
  <c r="Q34" i="2"/>
  <c r="Q30" i="2"/>
  <c r="P34" i="2"/>
  <c r="P30" i="2"/>
  <c r="AM23" i="2"/>
  <c r="AN19" i="2"/>
  <c r="U23" i="2"/>
  <c r="U37" i="2"/>
  <c r="V23" i="2"/>
  <c r="V18" i="2"/>
  <c r="W23" i="2"/>
  <c r="W18" i="2"/>
  <c r="X23" i="2"/>
  <c r="X18" i="2"/>
  <c r="Y23" i="2"/>
  <c r="Y18" i="2"/>
  <c r="Z23" i="2"/>
  <c r="Z18" i="2"/>
  <c r="AA23" i="2"/>
  <c r="AA18" i="2"/>
  <c r="AB23" i="2"/>
  <c r="AB18" i="2"/>
  <c r="AC23" i="2"/>
  <c r="AC18" i="2"/>
  <c r="AD23" i="2"/>
  <c r="AD18" i="2"/>
  <c r="AE23" i="2"/>
  <c r="AE18" i="2"/>
  <c r="AF23" i="2"/>
  <c r="AF18" i="2"/>
  <c r="AG23" i="2"/>
  <c r="AG18" i="2"/>
  <c r="AI23" i="2"/>
  <c r="AH23" i="2"/>
  <c r="J23" i="2"/>
  <c r="O23" i="2"/>
  <c r="N23" i="2"/>
  <c r="M23" i="2"/>
  <c r="L23" i="2"/>
  <c r="K23" i="2"/>
  <c r="I23" i="2"/>
  <c r="H23" i="2"/>
  <c r="G23" i="2"/>
  <c r="F23" i="2"/>
  <c r="E23" i="2"/>
  <c r="D23" i="2"/>
  <c r="C23" i="2"/>
  <c r="AH18" i="2"/>
  <c r="M86" i="2"/>
  <c r="M87" i="2" s="1"/>
  <c r="I86" i="2"/>
  <c r="L81" i="2"/>
  <c r="J103" i="2"/>
  <c r="K103" i="2" s="1"/>
  <c r="J100" i="2"/>
  <c r="K100" i="2" s="1"/>
  <c r="J99" i="2"/>
  <c r="K99" i="2" s="1"/>
  <c r="J98" i="2"/>
  <c r="K98" i="2" s="1"/>
  <c r="J97" i="2"/>
  <c r="J96" i="2"/>
  <c r="K96" i="2" s="1"/>
  <c r="L96" i="2" s="1"/>
  <c r="J95" i="2"/>
  <c r="J92" i="2"/>
  <c r="K92" i="2" s="1"/>
  <c r="K90" i="2"/>
  <c r="L90" i="2" s="1"/>
  <c r="J82" i="2"/>
  <c r="K82" i="2" s="1"/>
  <c r="J85" i="2"/>
  <c r="J84" i="2"/>
  <c r="J83" i="2"/>
  <c r="J79" i="2"/>
  <c r="J78" i="2"/>
  <c r="J77" i="2"/>
  <c r="J76" i="2"/>
  <c r="J75" i="2"/>
  <c r="K75" i="2" s="1"/>
  <c r="L75" i="2" s="1"/>
  <c r="J73" i="2"/>
  <c r="K73" i="2" s="1"/>
  <c r="J71" i="2"/>
  <c r="K71" i="2" s="1"/>
  <c r="L71" i="2" s="1"/>
  <c r="J69" i="2"/>
  <c r="J68" i="2"/>
  <c r="J67" i="2"/>
  <c r="I101" i="2"/>
  <c r="I89" i="2"/>
  <c r="I93" i="2" s="1"/>
  <c r="I70" i="2"/>
  <c r="J70" i="2" l="1"/>
  <c r="I87" i="2"/>
  <c r="K67" i="2"/>
  <c r="AN23" i="2"/>
  <c r="AO19" i="2"/>
  <c r="U24" i="2"/>
  <c r="V37" i="2"/>
  <c r="W37" i="2"/>
  <c r="V24" i="2"/>
  <c r="AI37" i="2"/>
  <c r="X37" i="2"/>
  <c r="W24" i="2"/>
  <c r="X24" i="2"/>
  <c r="Y37" i="2"/>
  <c r="Y24" i="2"/>
  <c r="Z37" i="2"/>
  <c r="AH24" i="2"/>
  <c r="AI24" i="2"/>
  <c r="Z24" i="2"/>
  <c r="AA37" i="2"/>
  <c r="AA24" i="2"/>
  <c r="AB37" i="2"/>
  <c r="AC37" i="2"/>
  <c r="AB24" i="2"/>
  <c r="AC24" i="2"/>
  <c r="AD37" i="2"/>
  <c r="AD24" i="2"/>
  <c r="AE37" i="2"/>
  <c r="AE24" i="2"/>
  <c r="AF37" i="2"/>
  <c r="AF24" i="2"/>
  <c r="AG37" i="2"/>
  <c r="AG24" i="2"/>
  <c r="AH37" i="2"/>
  <c r="J86" i="2"/>
  <c r="J87" i="2" s="1"/>
  <c r="J106" i="2" s="1"/>
  <c r="K95" i="2"/>
  <c r="L95" i="2" s="1"/>
  <c r="L82" i="2"/>
  <c r="L92" i="2"/>
  <c r="K76" i="2"/>
  <c r="L76" i="2" s="1"/>
  <c r="K77" i="2"/>
  <c r="L77" i="2" s="1"/>
  <c r="K78" i="2"/>
  <c r="K97" i="2"/>
  <c r="L97" i="2" s="1"/>
  <c r="L98" i="2"/>
  <c r="L99" i="2"/>
  <c r="L100" i="2"/>
  <c r="K79" i="2"/>
  <c r="L79" i="2" s="1"/>
  <c r="K83" i="2"/>
  <c r="L83" i="2" s="1"/>
  <c r="L103" i="2"/>
  <c r="K68" i="2"/>
  <c r="L68" i="2" s="1"/>
  <c r="K84" i="2"/>
  <c r="L84" i="2" s="1"/>
  <c r="L73" i="2"/>
  <c r="K69" i="2"/>
  <c r="L69" i="2" s="1"/>
  <c r="K85" i="2"/>
  <c r="L85" i="2" s="1"/>
  <c r="K70" i="2"/>
  <c r="L70" i="2" s="1"/>
  <c r="J101" i="2"/>
  <c r="I106" i="2"/>
  <c r="J89" i="2"/>
  <c r="J93" i="2" s="1"/>
  <c r="N103" i="2"/>
  <c r="N100" i="2"/>
  <c r="N99" i="2"/>
  <c r="N98" i="2"/>
  <c r="N97" i="2"/>
  <c r="N96" i="2"/>
  <c r="N92" i="2"/>
  <c r="N90" i="2"/>
  <c r="N85" i="2"/>
  <c r="N84" i="2"/>
  <c r="N83" i="2"/>
  <c r="N82" i="2"/>
  <c r="N81" i="2"/>
  <c r="N79" i="2"/>
  <c r="N78" i="2"/>
  <c r="N77" i="2"/>
  <c r="N76" i="2"/>
  <c r="N75" i="2"/>
  <c r="N73" i="2"/>
  <c r="N71" i="2"/>
  <c r="N70" i="2"/>
  <c r="N69" i="2"/>
  <c r="N68" i="2"/>
  <c r="N67" i="2"/>
  <c r="M95" i="2"/>
  <c r="M89" i="2"/>
  <c r="M106" i="2"/>
  <c r="M55" i="2"/>
  <c r="M59" i="2" s="1"/>
  <c r="M48" i="2"/>
  <c r="M40" i="2"/>
  <c r="N55" i="2"/>
  <c r="N59" i="2" s="1"/>
  <c r="O55" i="2"/>
  <c r="O59" i="2" s="1"/>
  <c r="O48" i="2"/>
  <c r="O40" i="2"/>
  <c r="O18" i="2"/>
  <c r="N18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N48" i="2"/>
  <c r="N40" i="2"/>
  <c r="C18" i="2"/>
  <c r="C24" i="2" s="1"/>
  <c r="D18" i="2"/>
  <c r="D24" i="2" s="1"/>
  <c r="E18" i="2"/>
  <c r="E24" i="2" s="1"/>
  <c r="F18" i="2"/>
  <c r="F24" i="2" s="1"/>
  <c r="G18" i="2"/>
  <c r="G24" i="2" s="1"/>
  <c r="K18" i="2"/>
  <c r="K24" i="2" s="1"/>
  <c r="H18" i="2"/>
  <c r="H24" i="2" s="1"/>
  <c r="L18" i="2"/>
  <c r="I18" i="2"/>
  <c r="I24" i="2" s="1"/>
  <c r="M18" i="2"/>
  <c r="J18" i="2"/>
  <c r="J24" i="2" s="1"/>
  <c r="K4" i="1"/>
  <c r="K7" i="1" s="1"/>
  <c r="M101" i="2" l="1"/>
  <c r="O82" i="2"/>
  <c r="P82" i="2"/>
  <c r="O90" i="2"/>
  <c r="P90" i="2"/>
  <c r="Q37" i="2"/>
  <c r="AJ18" i="2"/>
  <c r="AJ24" i="2" s="1"/>
  <c r="AJ27" i="2" s="1"/>
  <c r="AJ29" i="2" s="1"/>
  <c r="O103" i="2"/>
  <c r="P103" i="2"/>
  <c r="N24" i="2"/>
  <c r="R37" i="2"/>
  <c r="O73" i="2"/>
  <c r="P73" i="2"/>
  <c r="O92" i="2"/>
  <c r="P92" i="2"/>
  <c r="Q93" i="2" s="1"/>
  <c r="O75" i="2"/>
  <c r="P75" i="2"/>
  <c r="O83" i="2"/>
  <c r="P83" i="2" s="1"/>
  <c r="O96" i="2"/>
  <c r="O76" i="2"/>
  <c r="P76" i="2"/>
  <c r="O97" i="2"/>
  <c r="P97" i="2" s="1"/>
  <c r="O81" i="2"/>
  <c r="P81" i="2"/>
  <c r="O67" i="2"/>
  <c r="P67" i="2" s="1"/>
  <c r="O70" i="2"/>
  <c r="P70" i="2" s="1"/>
  <c r="O77" i="2"/>
  <c r="P77" i="2" s="1"/>
  <c r="O98" i="2"/>
  <c r="P98" i="2"/>
  <c r="L67" i="2"/>
  <c r="O68" i="2"/>
  <c r="P68" i="2"/>
  <c r="O71" i="2"/>
  <c r="P71" i="2"/>
  <c r="O99" i="2"/>
  <c r="P99" i="2"/>
  <c r="O69" i="2"/>
  <c r="P69" i="2" s="1"/>
  <c r="O85" i="2"/>
  <c r="P85" i="2"/>
  <c r="M93" i="2"/>
  <c r="M104" i="2" s="1"/>
  <c r="O79" i="2"/>
  <c r="P79" i="2" s="1"/>
  <c r="O100" i="2"/>
  <c r="P100" i="2"/>
  <c r="L24" i="2"/>
  <c r="P37" i="2"/>
  <c r="M24" i="2"/>
  <c r="O24" i="2"/>
  <c r="AP19" i="2"/>
  <c r="AO23" i="2"/>
  <c r="U33" i="2"/>
  <c r="U27" i="2"/>
  <c r="V33" i="2"/>
  <c r="V27" i="2"/>
  <c r="W33" i="2"/>
  <c r="W27" i="2"/>
  <c r="X33" i="2"/>
  <c r="X27" i="2"/>
  <c r="Y33" i="2"/>
  <c r="Y27" i="2"/>
  <c r="Z33" i="2"/>
  <c r="Z27" i="2"/>
  <c r="AA33" i="2"/>
  <c r="AA27" i="2"/>
  <c r="AB33" i="2"/>
  <c r="AB27" i="2"/>
  <c r="AC33" i="2"/>
  <c r="AC27" i="2"/>
  <c r="AD33" i="2"/>
  <c r="AD27" i="2"/>
  <c r="AE33" i="2"/>
  <c r="AE27" i="2"/>
  <c r="AF33" i="2"/>
  <c r="AF27" i="2"/>
  <c r="AG33" i="2"/>
  <c r="AG27" i="2"/>
  <c r="K101" i="2"/>
  <c r="L101" i="2"/>
  <c r="I104" i="2"/>
  <c r="K86" i="2"/>
  <c r="K87" i="2" s="1"/>
  <c r="K106" i="2" s="1"/>
  <c r="O78" i="2"/>
  <c r="P78" i="2" s="1"/>
  <c r="N86" i="2"/>
  <c r="N87" i="2" s="1"/>
  <c r="N106" i="2" s="1"/>
  <c r="K89" i="2"/>
  <c r="K93" i="2" s="1"/>
  <c r="L78" i="2"/>
  <c r="L86" i="2" s="1"/>
  <c r="J104" i="2"/>
  <c r="M49" i="2"/>
  <c r="M60" i="2" s="1"/>
  <c r="M61" i="2" s="1"/>
  <c r="N89" i="2"/>
  <c r="O89" i="2" s="1"/>
  <c r="O93" i="2" s="1"/>
  <c r="N95" i="2"/>
  <c r="O84" i="2"/>
  <c r="P84" i="2" s="1"/>
  <c r="O49" i="2"/>
  <c r="O60" i="2" s="1"/>
  <c r="O61" i="2" s="1"/>
  <c r="M39" i="2"/>
  <c r="N49" i="2"/>
  <c r="N60" i="2" s="1"/>
  <c r="N61" i="2" s="1"/>
  <c r="N39" i="2"/>
  <c r="O37" i="2"/>
  <c r="O39" i="2"/>
  <c r="L37" i="2"/>
  <c r="I37" i="2"/>
  <c r="K37" i="2"/>
  <c r="H37" i="2"/>
  <c r="M37" i="2"/>
  <c r="N37" i="2"/>
  <c r="G37" i="2"/>
  <c r="J37" i="2"/>
  <c r="G27" i="2"/>
  <c r="I27" i="2"/>
  <c r="J27" i="2"/>
  <c r="P86" i="2" l="1"/>
  <c r="P96" i="2"/>
  <c r="AJ30" i="2"/>
  <c r="AJ66" i="2"/>
  <c r="P89" i="2"/>
  <c r="P93" i="2" s="1"/>
  <c r="L87" i="2"/>
  <c r="L106" i="2" s="1"/>
  <c r="L107" i="2" s="1"/>
  <c r="O95" i="2"/>
  <c r="O101" i="2" s="1"/>
  <c r="P87" i="2"/>
  <c r="AK18" i="2"/>
  <c r="AJ37" i="2"/>
  <c r="AP23" i="2"/>
  <c r="AQ19" i="2"/>
  <c r="U35" i="2"/>
  <c r="U29" i="2"/>
  <c r="V35" i="2"/>
  <c r="V29" i="2"/>
  <c r="W35" i="2"/>
  <c r="W29" i="2"/>
  <c r="X35" i="2"/>
  <c r="X29" i="2"/>
  <c r="Y35" i="2"/>
  <c r="Y29" i="2"/>
  <c r="Z35" i="2"/>
  <c r="Z29" i="2"/>
  <c r="AA35" i="2"/>
  <c r="AA29" i="2"/>
  <c r="AB35" i="2"/>
  <c r="AB29" i="2"/>
  <c r="AC35" i="2"/>
  <c r="AC29" i="2"/>
  <c r="AD35" i="2"/>
  <c r="AD29" i="2"/>
  <c r="AE35" i="2"/>
  <c r="AE29" i="2"/>
  <c r="AE66" i="2" s="1"/>
  <c r="AF35" i="2"/>
  <c r="AF29" i="2"/>
  <c r="AF66" i="2" s="1"/>
  <c r="AG35" i="2"/>
  <c r="AG29" i="2"/>
  <c r="AG66" i="2" s="1"/>
  <c r="AH27" i="2"/>
  <c r="AH33" i="2"/>
  <c r="AI33" i="2"/>
  <c r="AI27" i="2"/>
  <c r="K104" i="2"/>
  <c r="L89" i="2"/>
  <c r="L93" i="2" s="1"/>
  <c r="O86" i="2"/>
  <c r="O87" i="2" s="1"/>
  <c r="O106" i="2" s="1"/>
  <c r="N93" i="2"/>
  <c r="N101" i="2"/>
  <c r="C33" i="2"/>
  <c r="C27" i="2"/>
  <c r="G33" i="2"/>
  <c r="G35" i="2"/>
  <c r="G29" i="2"/>
  <c r="L33" i="2"/>
  <c r="I33" i="2"/>
  <c r="I29" i="2"/>
  <c r="I66" i="2" s="1"/>
  <c r="I35" i="2"/>
  <c r="M33" i="2"/>
  <c r="M27" i="2"/>
  <c r="J33" i="2"/>
  <c r="J35" i="2"/>
  <c r="J29" i="2"/>
  <c r="P106" i="2" l="1"/>
  <c r="P107" i="2" s="1"/>
  <c r="P95" i="2"/>
  <c r="AL18" i="2"/>
  <c r="AK24" i="2"/>
  <c r="AK33" i="2" s="1"/>
  <c r="AK37" i="2"/>
  <c r="AJ33" i="2"/>
  <c r="AR19" i="2"/>
  <c r="AQ23" i="2"/>
  <c r="U34" i="2"/>
  <c r="U30" i="2"/>
  <c r="V34" i="2"/>
  <c r="V30" i="2"/>
  <c r="O107" i="2"/>
  <c r="W34" i="2"/>
  <c r="W30" i="2"/>
  <c r="X34" i="2"/>
  <c r="X30" i="2"/>
  <c r="L104" i="2"/>
  <c r="N107" i="2"/>
  <c r="Y34" i="2"/>
  <c r="Y30" i="2"/>
  <c r="M107" i="2"/>
  <c r="Z34" i="2"/>
  <c r="Z30" i="2"/>
  <c r="AA34" i="2"/>
  <c r="AA30" i="2"/>
  <c r="AB34" i="2"/>
  <c r="AB30" i="2"/>
  <c r="AC34" i="2"/>
  <c r="AC30" i="2"/>
  <c r="AD34" i="2"/>
  <c r="AD30" i="2"/>
  <c r="AE34" i="2"/>
  <c r="AE30" i="2"/>
  <c r="AF34" i="2"/>
  <c r="AF30" i="2"/>
  <c r="AG34" i="2"/>
  <c r="AG30" i="2"/>
  <c r="J66" i="2"/>
  <c r="AH35" i="2"/>
  <c r="AH29" i="2"/>
  <c r="AH66" i="2" s="1"/>
  <c r="AI35" i="2"/>
  <c r="AI29" i="2"/>
  <c r="AI66" i="2" s="1"/>
  <c r="N104" i="2"/>
  <c r="O104" i="2"/>
  <c r="C35" i="2"/>
  <c r="C29" i="2"/>
  <c r="D33" i="2"/>
  <c r="D27" i="2"/>
  <c r="E33" i="2"/>
  <c r="E27" i="2"/>
  <c r="F33" i="2"/>
  <c r="F27" i="2"/>
  <c r="N27" i="2"/>
  <c r="N33" i="2"/>
  <c r="G34" i="2"/>
  <c r="G30" i="2"/>
  <c r="K33" i="2"/>
  <c r="K27" i="2"/>
  <c r="H27" i="2"/>
  <c r="H33" i="2"/>
  <c r="L27" i="2"/>
  <c r="L29" i="2" s="1"/>
  <c r="I34" i="2"/>
  <c r="I30" i="2"/>
  <c r="M35" i="2"/>
  <c r="M29" i="2"/>
  <c r="J34" i="2"/>
  <c r="J30" i="2"/>
  <c r="M66" i="2" l="1"/>
  <c r="Q101" i="2"/>
  <c r="Q104" i="2" s="1"/>
  <c r="P101" i="2"/>
  <c r="P104" i="2" s="1"/>
  <c r="Q107" i="2"/>
  <c r="AM18" i="2"/>
  <c r="AL37" i="2"/>
  <c r="AL24" i="2"/>
  <c r="AL33" i="2" s="1"/>
  <c r="AS19" i="2"/>
  <c r="AR23" i="2"/>
  <c r="L66" i="2"/>
  <c r="AH30" i="2"/>
  <c r="AH34" i="2"/>
  <c r="AI34" i="2"/>
  <c r="AI30" i="2"/>
  <c r="C34" i="2"/>
  <c r="C30" i="2"/>
  <c r="D35" i="2"/>
  <c r="D29" i="2"/>
  <c r="E29" i="2"/>
  <c r="E35" i="2"/>
  <c r="F35" i="2"/>
  <c r="F29" i="2"/>
  <c r="N29" i="2"/>
  <c r="N35" i="2"/>
  <c r="K35" i="2"/>
  <c r="K29" i="2"/>
  <c r="M63" i="2" s="1"/>
  <c r="M64" i="2" s="1"/>
  <c r="H35" i="2"/>
  <c r="H29" i="2"/>
  <c r="L35" i="2"/>
  <c r="L34" i="2"/>
  <c r="L30" i="2"/>
  <c r="M34" i="2"/>
  <c r="M30" i="2"/>
  <c r="N66" i="2" l="1"/>
  <c r="AJ35" i="2"/>
  <c r="AN18" i="2"/>
  <c r="AM37" i="2"/>
  <c r="AM24" i="2"/>
  <c r="AM33" i="2" s="1"/>
  <c r="AJ34" i="2"/>
  <c r="AT19" i="2"/>
  <c r="AS23" i="2"/>
  <c r="K66" i="2"/>
  <c r="N63" i="2"/>
  <c r="N64" i="2" s="1"/>
  <c r="D34" i="2"/>
  <c r="D30" i="2"/>
  <c r="E30" i="2"/>
  <c r="E34" i="2"/>
  <c r="F34" i="2"/>
  <c r="F30" i="2"/>
  <c r="N30" i="2"/>
  <c r="N34" i="2"/>
  <c r="K34" i="2"/>
  <c r="K30" i="2"/>
  <c r="H34" i="2"/>
  <c r="H30" i="2"/>
  <c r="AO18" i="2" l="1"/>
  <c r="AN37" i="2"/>
  <c r="AN24" i="2"/>
  <c r="AN33" i="2" s="1"/>
  <c r="AK27" i="2"/>
  <c r="AU19" i="2"/>
  <c r="AT23" i="2"/>
  <c r="O33" i="2"/>
  <c r="O27" i="2"/>
  <c r="AP18" i="2" l="1"/>
  <c r="AO37" i="2"/>
  <c r="AO24" i="2"/>
  <c r="AO33" i="2" s="1"/>
  <c r="AK28" i="2"/>
  <c r="AK35" i="2" s="1"/>
  <c r="AU23" i="2"/>
  <c r="O35" i="2"/>
  <c r="O29" i="2"/>
  <c r="Q63" i="2" l="1"/>
  <c r="Q64" i="2" s="1"/>
  <c r="P63" i="2"/>
  <c r="P64" i="2" s="1"/>
  <c r="AK29" i="2"/>
  <c r="AK30" i="2" s="1"/>
  <c r="AQ18" i="2"/>
  <c r="AP24" i="2"/>
  <c r="AP33" i="2" s="1"/>
  <c r="AP37" i="2"/>
  <c r="O66" i="2"/>
  <c r="O63" i="2"/>
  <c r="O64" i="2" s="1"/>
  <c r="O34" i="2"/>
  <c r="O30" i="2"/>
  <c r="AK34" i="2" l="1"/>
  <c r="AL25" i="2"/>
  <c r="AL27" i="2" s="1"/>
  <c r="AR18" i="2"/>
  <c r="AQ37" i="2"/>
  <c r="AQ24" i="2"/>
  <c r="AQ33" i="2" s="1"/>
  <c r="AS18" i="2" l="1"/>
  <c r="AR37" i="2"/>
  <c r="AR24" i="2"/>
  <c r="AR33" i="2" s="1"/>
  <c r="AL28" i="2"/>
  <c r="AL35" i="2" s="1"/>
  <c r="AL29" i="2" l="1"/>
  <c r="AL34" i="2" s="1"/>
  <c r="AT18" i="2"/>
  <c r="AS37" i="2"/>
  <c r="AS24" i="2"/>
  <c r="AS33" i="2" s="1"/>
  <c r="AM25" i="2" l="1"/>
  <c r="AM27" i="2" s="1"/>
  <c r="AL30" i="2"/>
  <c r="AU18" i="2"/>
  <c r="AT37" i="2"/>
  <c r="AT24" i="2"/>
  <c r="AT33" i="2" s="1"/>
  <c r="AU37" i="2" l="1"/>
  <c r="AU24" i="2"/>
  <c r="AU33" i="2" s="1"/>
  <c r="AM28" i="2"/>
  <c r="AM35" i="2" s="1"/>
  <c r="AM29" i="2" l="1"/>
  <c r="AM34" i="2" s="1"/>
  <c r="AN25" i="2" l="1"/>
  <c r="AN27" i="2" s="1"/>
  <c r="AM30" i="2"/>
  <c r="AN28" i="2" l="1"/>
  <c r="AN35" i="2" s="1"/>
  <c r="AN29" i="2" l="1"/>
  <c r="AN34" i="2" s="1"/>
  <c r="AO25" i="2" l="1"/>
  <c r="AO27" i="2" s="1"/>
  <c r="AN30" i="2"/>
  <c r="AO28" i="2" l="1"/>
  <c r="AO35" i="2" s="1"/>
  <c r="AO29" i="2" l="1"/>
  <c r="AO34" i="2" s="1"/>
  <c r="AP25" i="2" l="1"/>
  <c r="AP27" i="2" s="1"/>
  <c r="AO30" i="2"/>
  <c r="AP28" i="2" l="1"/>
  <c r="AP35" i="2" s="1"/>
  <c r="AP29" i="2" l="1"/>
  <c r="AP34" i="2" s="1"/>
  <c r="AP30" i="2" l="1"/>
  <c r="AQ25" i="2"/>
  <c r="AQ27" i="2" s="1"/>
  <c r="AQ28" i="2" l="1"/>
  <c r="AQ35" i="2" s="1"/>
  <c r="AQ29" i="2" l="1"/>
  <c r="AQ30" i="2" s="1"/>
  <c r="AR25" i="2" l="1"/>
  <c r="AR27" i="2" s="1"/>
  <c r="AQ34" i="2"/>
  <c r="AR28" i="2" l="1"/>
  <c r="AR35" i="2" s="1"/>
  <c r="AR29" i="2" l="1"/>
  <c r="AR34" i="2" s="1"/>
  <c r="AS25" i="2" l="1"/>
  <c r="AS27" i="2" s="1"/>
  <c r="AR30" i="2"/>
  <c r="AS28" i="2" l="1"/>
  <c r="AS35" i="2" s="1"/>
  <c r="AS29" i="2" l="1"/>
  <c r="AS34" i="2" s="1"/>
  <c r="AT25" i="2" l="1"/>
  <c r="AT27" i="2" s="1"/>
  <c r="AS30" i="2"/>
  <c r="AT28" i="2" l="1"/>
  <c r="AT35" i="2" s="1"/>
  <c r="AT29" i="2" l="1"/>
  <c r="AT34" i="2" s="1"/>
  <c r="AT30" i="2" l="1"/>
  <c r="AU25" i="2"/>
  <c r="AU27" i="2" s="1"/>
  <c r="AU28" i="2" l="1"/>
  <c r="AU35" i="2" s="1"/>
  <c r="AU29" i="2" l="1"/>
  <c r="AU34" i="2" l="1"/>
  <c r="AV29" i="2"/>
  <c r="AW29" i="2" s="1"/>
  <c r="AX29" i="2" s="1"/>
  <c r="AU30" i="2"/>
  <c r="AY29" i="2" l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BA35" i="2" s="1"/>
  <c r="BA36" i="2" s="1"/>
  <c r="BA37" i="2" s="1"/>
</calcChain>
</file>

<file path=xl/sharedStrings.xml><?xml version="1.0" encoding="utf-8"?>
<sst xmlns="http://schemas.openxmlformats.org/spreadsheetml/2006/main" count="135" uniqueCount="111">
  <si>
    <t>Price</t>
  </si>
  <si>
    <t>Shares</t>
  </si>
  <si>
    <t>MC</t>
  </si>
  <si>
    <t>Cash</t>
  </si>
  <si>
    <t>Debt</t>
  </si>
  <si>
    <t>EV</t>
  </si>
  <si>
    <t>Other</t>
  </si>
  <si>
    <t>Revenue</t>
  </si>
  <si>
    <t>Store operating</t>
  </si>
  <si>
    <t>G&amp;A</t>
  </si>
  <si>
    <t>Operating expense</t>
  </si>
  <si>
    <t>Operating income</t>
  </si>
  <si>
    <t>Interest income</t>
  </si>
  <si>
    <t>Interest expense</t>
  </si>
  <si>
    <t>Pretax</t>
  </si>
  <si>
    <t>Taxes</t>
  </si>
  <si>
    <t>Net income</t>
  </si>
  <si>
    <t>EPS</t>
  </si>
  <si>
    <t>Operating margin</t>
  </si>
  <si>
    <t>Tax rate</t>
  </si>
  <si>
    <t>Revenue y/y</t>
  </si>
  <si>
    <t>Net cash</t>
  </si>
  <si>
    <t>A/R</t>
  </si>
  <si>
    <t>Inventories</t>
  </si>
  <si>
    <t>Prepaid</t>
  </si>
  <si>
    <t>PP&amp;E</t>
  </si>
  <si>
    <t>Lease</t>
  </si>
  <si>
    <t>D/T</t>
  </si>
  <si>
    <t>Goodwill</t>
  </si>
  <si>
    <t>Assets</t>
  </si>
  <si>
    <t>A/P</t>
  </si>
  <si>
    <t>Accrued</t>
  </si>
  <si>
    <t>Benefits</t>
  </si>
  <si>
    <t>D/R</t>
  </si>
  <si>
    <t>Liabilities</t>
  </si>
  <si>
    <t>S/E</t>
  </si>
  <si>
    <t>L+S/E</t>
  </si>
  <si>
    <t>Model NI</t>
  </si>
  <si>
    <t>Reported NI</t>
  </si>
  <si>
    <t>D&amp;A</t>
  </si>
  <si>
    <t>Investees</t>
  </si>
  <si>
    <t>Sales</t>
  </si>
  <si>
    <t>SBC</t>
  </si>
  <si>
    <t>Iventories</t>
  </si>
  <si>
    <t>Income tax payable</t>
  </si>
  <si>
    <t>Working capital</t>
  </si>
  <si>
    <t>CFFO</t>
  </si>
  <si>
    <t>Investments</t>
  </si>
  <si>
    <t>CapEx</t>
  </si>
  <si>
    <t>CFFI</t>
  </si>
  <si>
    <t>Dividends</t>
  </si>
  <si>
    <t>Taxes SBC</t>
  </si>
  <si>
    <t>Issuance stock</t>
  </si>
  <si>
    <t>Buybacks</t>
  </si>
  <si>
    <t>CFFF</t>
  </si>
  <si>
    <t>FX</t>
  </si>
  <si>
    <t>CIC</t>
  </si>
  <si>
    <t>FCF</t>
  </si>
  <si>
    <t>TTM</t>
  </si>
  <si>
    <t>Fulltime employees</t>
  </si>
  <si>
    <t>Other revenue</t>
  </si>
  <si>
    <t>Operated stores revenue</t>
  </si>
  <si>
    <t>Licensed stores revenue</t>
  </si>
  <si>
    <t>Impairment</t>
  </si>
  <si>
    <t>NI TTM</t>
  </si>
  <si>
    <t>Buffet return</t>
  </si>
  <si>
    <r>
      <t xml:space="preserve">Sourcing and roasting high-quality </t>
    </r>
    <r>
      <rPr>
        <i/>
        <sz val="10"/>
        <color theme="1"/>
        <rFont val="Arial"/>
        <family val="2"/>
      </rPr>
      <t>arabica</t>
    </r>
    <r>
      <rPr>
        <sz val="10"/>
        <color theme="1"/>
        <rFont val="arial"/>
        <family val="2"/>
      </rPr>
      <t xml:space="preserve"> coffee.</t>
    </r>
  </si>
  <si>
    <t>Product and distribution cost</t>
  </si>
  <si>
    <t>Divestiture of operations</t>
  </si>
  <si>
    <t>Goodwill impairments</t>
  </si>
  <si>
    <t>Supply-chain</t>
  </si>
  <si>
    <t>Farm/sub farm</t>
  </si>
  <si>
    <t>Processing plant</t>
  </si>
  <si>
    <t>Exporteur</t>
  </si>
  <si>
    <t>Importeur</t>
  </si>
  <si>
    <t>Roaster</t>
  </si>
  <si>
    <t>Retailer</t>
  </si>
  <si>
    <t>Terminal value</t>
  </si>
  <si>
    <t>Discount value</t>
  </si>
  <si>
    <t>NPV</t>
  </si>
  <si>
    <t>Per share</t>
  </si>
  <si>
    <t>Upside</t>
  </si>
  <si>
    <t>North America stores</t>
  </si>
  <si>
    <t>International stores</t>
  </si>
  <si>
    <t>Worldwide stores</t>
  </si>
  <si>
    <t>Main</t>
  </si>
  <si>
    <t>SEC Fillings</t>
  </si>
  <si>
    <t>https://investor.starbucks.com/ir-home/default.aspx</t>
  </si>
  <si>
    <t>FQ125</t>
  </si>
  <si>
    <t>FQ424</t>
  </si>
  <si>
    <t>FQ324</t>
  </si>
  <si>
    <t>FQ224</t>
  </si>
  <si>
    <t>FQ124</t>
  </si>
  <si>
    <t>FQ423</t>
  </si>
  <si>
    <t>FQ323</t>
  </si>
  <si>
    <t>FQ223</t>
  </si>
  <si>
    <t>FQ123</t>
  </si>
  <si>
    <t>FQ422</t>
  </si>
  <si>
    <t>FQ322</t>
  </si>
  <si>
    <t>FQ222</t>
  </si>
  <si>
    <t>FQ122</t>
  </si>
  <si>
    <t>FQ421</t>
  </si>
  <si>
    <t>FQ321</t>
  </si>
  <si>
    <t>Revenue International</t>
  </si>
  <si>
    <t xml:space="preserve">Revenue North America </t>
  </si>
  <si>
    <t>Revenue Worldwide</t>
  </si>
  <si>
    <t>Per store North America (thousands)</t>
  </si>
  <si>
    <t>Per store International (thousands)</t>
  </si>
  <si>
    <t>Per store Worldwide (thousands)</t>
  </si>
  <si>
    <t>FQ225</t>
  </si>
  <si>
    <t>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</si>
</sst>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7" formatCode="d/mm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3" fontId="2" fillId="0" borderId="0" xfId="0" applyNumberFormat="1" applyFont="1"/>
    <xf numFmtId="3" fontId="0" fillId="0" borderId="0" xfId="0" applyNumberFormat="1" applyAlignment="1">
      <alignment horizontal="right"/>
    </xf>
    <xf numFmtId="9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167" fontId="2" fillId="0" borderId="0" xfId="0" applyNumberFormat="1" applyFont="1"/>
    <xf numFmtId="167" fontId="0" fillId="0" borderId="0" xfId="0" applyNumberForma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Alignment="1"/>
    <xf numFmtId="3" fontId="0" fillId="0" borderId="0" xfId="0" applyNumberFormat="1" applyFill="1" applyBorder="1" applyAlignment="1"/>
    <xf numFmtId="3" fontId="1" fillId="0" borderId="0" xfId="0" applyNumberFormat="1" applyFont="1" applyAlignment="1"/>
    <xf numFmtId="4" fontId="0" fillId="0" borderId="0" xfId="0" applyNumberFormat="1" applyAlignment="1"/>
    <xf numFmtId="9" fontId="0" fillId="0" borderId="0" xfId="0" applyNumberFormat="1" applyAlignment="1"/>
    <xf numFmtId="9" fontId="1" fillId="0" borderId="0" xfId="0" applyNumberFormat="1" applyFont="1" applyAlignment="1"/>
    <xf numFmtId="0" fontId="0" fillId="0" borderId="0" xfId="0" applyFont="1"/>
    <xf numFmtId="0" fontId="3" fillId="0" borderId="0" xfId="1"/>
    <xf numFmtId="167" fontId="3" fillId="0" borderId="0" xfId="1" applyNumberFormat="1"/>
    <xf numFmtId="167" fontId="0" fillId="0" borderId="0" xfId="0" applyNumberFormat="1" applyAlignment="1"/>
    <xf numFmtId="0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0</xdr:row>
      <xdr:rowOff>0</xdr:rowOff>
    </xdr:from>
    <xdr:to>
      <xdr:col>18</xdr:col>
      <xdr:colOff>38100</xdr:colOff>
      <xdr:row>111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8A89289-44F4-5C20-B030-6B5B5E27055E}"/>
            </a:ext>
          </a:extLst>
        </xdr:cNvPr>
        <xdr:cNvCxnSpPr/>
      </xdr:nvCxnSpPr>
      <xdr:spPr>
        <a:xfrm>
          <a:off x="12192000" y="0"/>
          <a:ext cx="0" cy="16735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47625</xdr:colOff>
      <xdr:row>0</xdr:row>
      <xdr:rowOff>0</xdr:rowOff>
    </xdr:from>
    <xdr:to>
      <xdr:col>36</xdr:col>
      <xdr:colOff>47625</xdr:colOff>
      <xdr:row>112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4ABD3D9-9273-070D-409C-C22A928C1BAB}"/>
            </a:ext>
          </a:extLst>
        </xdr:cNvPr>
        <xdr:cNvCxnSpPr/>
      </xdr:nvCxnSpPr>
      <xdr:spPr>
        <a:xfrm>
          <a:off x="24250650" y="0"/>
          <a:ext cx="0" cy="18135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nvestor.starbucks.com/ir-home/default.aspx" TargetMode="External"/><Relationship Id="rId1" Type="http://schemas.openxmlformats.org/officeDocument/2006/relationships/hyperlink" Target="https://www.sec.gov/edgar/browse/?CIK=829224&amp;owner=exclu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502E-15E2-4CC0-820F-2D1DE80C36B4}">
  <dimension ref="A1:L12"/>
  <sheetViews>
    <sheetView workbookViewId="0">
      <selection activeCell="K17" sqref="K17"/>
    </sheetView>
  </sheetViews>
  <sheetFormatPr defaultRowHeight="12.75" x14ac:dyDescent="0.2"/>
  <cols>
    <col min="1" max="1" width="5" bestFit="1" customWidth="1"/>
    <col min="11" max="11" width="9.140625" customWidth="1"/>
    <col min="12" max="12" width="8.42578125" bestFit="1" customWidth="1"/>
    <col min="13" max="13" width="13.85546875" bestFit="1" customWidth="1"/>
    <col min="14" max="14" width="12.85546875" bestFit="1" customWidth="1"/>
  </cols>
  <sheetData>
    <row r="1" spans="1:12" x14ac:dyDescent="0.2">
      <c r="A1" s="26"/>
      <c r="B1" s="27" t="s">
        <v>86</v>
      </c>
    </row>
    <row r="2" spans="1:12" x14ac:dyDescent="0.2">
      <c r="A2" s="1"/>
      <c r="B2" s="27" t="s">
        <v>87</v>
      </c>
      <c r="J2" t="s">
        <v>0</v>
      </c>
      <c r="K2" s="3">
        <v>84.85</v>
      </c>
    </row>
    <row r="3" spans="1:12" x14ac:dyDescent="0.2">
      <c r="J3" t="s">
        <v>1</v>
      </c>
      <c r="K3" s="2">
        <v>1140</v>
      </c>
      <c r="L3" s="10" t="s">
        <v>109</v>
      </c>
    </row>
    <row r="4" spans="1:12" x14ac:dyDescent="0.2">
      <c r="B4" t="s">
        <v>66</v>
      </c>
      <c r="J4" t="s">
        <v>2</v>
      </c>
      <c r="K4" s="2">
        <f>+K2*K3</f>
        <v>96729</v>
      </c>
      <c r="L4" s="10"/>
    </row>
    <row r="5" spans="1:12" x14ac:dyDescent="0.2">
      <c r="J5" t="s">
        <v>3</v>
      </c>
      <c r="K5" s="2">
        <f>2671.4+340.2+222.1+466.9</f>
        <v>3700.6</v>
      </c>
      <c r="L5" s="10" t="s">
        <v>109</v>
      </c>
    </row>
    <row r="6" spans="1:12" x14ac:dyDescent="0.2">
      <c r="B6" s="11" t="s">
        <v>70</v>
      </c>
      <c r="J6" t="s">
        <v>4</v>
      </c>
      <c r="K6" s="2">
        <f>2247.8+13324</f>
        <v>15571.8</v>
      </c>
      <c r="L6" s="10" t="s">
        <v>109</v>
      </c>
    </row>
    <row r="7" spans="1:12" x14ac:dyDescent="0.2">
      <c r="B7" t="s">
        <v>71</v>
      </c>
      <c r="J7" t="s">
        <v>5</v>
      </c>
      <c r="K7" s="2">
        <f>+K4-K5+K6</f>
        <v>108600.2</v>
      </c>
    </row>
    <row r="8" spans="1:12" x14ac:dyDescent="0.2">
      <c r="B8" t="s">
        <v>72</v>
      </c>
      <c r="K8" s="2">
        <v>4566</v>
      </c>
    </row>
    <row r="9" spans="1:12" x14ac:dyDescent="0.2">
      <c r="B9" t="s">
        <v>73</v>
      </c>
      <c r="K9" s="9">
        <f>+K7/K8</f>
        <v>23.784537888742882</v>
      </c>
    </row>
    <row r="10" spans="1:12" x14ac:dyDescent="0.2">
      <c r="B10" t="s">
        <v>74</v>
      </c>
    </row>
    <row r="11" spans="1:12" x14ac:dyDescent="0.2">
      <c r="B11" t="s">
        <v>75</v>
      </c>
    </row>
    <row r="12" spans="1:12" x14ac:dyDescent="0.2">
      <c r="B12" t="s">
        <v>76</v>
      </c>
    </row>
  </sheetData>
  <hyperlinks>
    <hyperlink ref="B1" r:id="rId1" xr:uid="{8BAED2B9-5477-4AF5-ADD4-D481C3A9DEC3}"/>
    <hyperlink ref="B2" r:id="rId2" xr:uid="{34B22C41-ABD2-4182-8A30-EBDFE2FD9F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80A6-2D64-459A-80A7-022C5495556D}">
  <dimension ref="A1:EU109"/>
  <sheetViews>
    <sheetView tabSelected="1" workbookViewId="0">
      <pane xSplit="2" ySplit="2" topLeftCell="L3" activePane="bottomRight" state="frozen"/>
      <selection pane="topRight" activeCell="B1" sqref="B1"/>
      <selection pane="bottomLeft" activeCell="A4" sqref="A4"/>
      <selection pane="bottomRight" activeCell="S15" sqref="S15"/>
    </sheetView>
  </sheetViews>
  <sheetFormatPr defaultRowHeight="12.75" x14ac:dyDescent="0.2"/>
  <cols>
    <col min="1" max="1" width="5" style="2" bestFit="1" customWidth="1"/>
    <col min="2" max="2" width="25.140625" style="2" bestFit="1" customWidth="1"/>
    <col min="3" max="14" width="10.140625" style="2" bestFit="1" customWidth="1"/>
    <col min="15" max="16" width="10.140625" style="2" customWidth="1"/>
    <col min="17" max="20" width="10.140625" style="20" customWidth="1"/>
    <col min="21" max="24" width="10.140625" style="2" customWidth="1"/>
    <col min="25" max="51" width="9.140625" style="2"/>
    <col min="52" max="52" width="13.140625" style="2" bestFit="1" customWidth="1"/>
    <col min="53" max="53" width="11.28515625" style="2" customWidth="1"/>
    <col min="54" max="16384" width="9.140625" style="2"/>
  </cols>
  <sheetData>
    <row r="1" spans="1:50" s="14" customFormat="1" x14ac:dyDescent="0.2">
      <c r="A1" s="28" t="s">
        <v>85</v>
      </c>
      <c r="B1" s="13"/>
      <c r="C1" s="14">
        <v>44374</v>
      </c>
      <c r="D1" s="14">
        <v>44471</v>
      </c>
      <c r="E1" s="14">
        <v>44563</v>
      </c>
      <c r="F1" s="14">
        <v>44653</v>
      </c>
      <c r="G1" s="14">
        <v>44745</v>
      </c>
      <c r="H1" s="14">
        <v>44836</v>
      </c>
      <c r="I1" s="14">
        <v>44927</v>
      </c>
      <c r="J1" s="14">
        <v>45018</v>
      </c>
      <c r="K1" s="14">
        <v>45109</v>
      </c>
      <c r="L1" s="14">
        <v>45200</v>
      </c>
      <c r="M1" s="14">
        <v>45291</v>
      </c>
      <c r="N1" s="14">
        <v>45382</v>
      </c>
      <c r="O1" s="14">
        <v>45473</v>
      </c>
      <c r="P1" s="14">
        <v>45564</v>
      </c>
      <c r="Q1" s="29">
        <v>45655</v>
      </c>
      <c r="R1" s="29">
        <v>45746</v>
      </c>
      <c r="S1" s="29"/>
      <c r="T1" s="29"/>
    </row>
    <row r="2" spans="1:50" s="5" customFormat="1" x14ac:dyDescent="0.2">
      <c r="B2" s="4"/>
      <c r="C2" s="5" t="s">
        <v>102</v>
      </c>
      <c r="D2" s="5" t="s">
        <v>101</v>
      </c>
      <c r="E2" s="5" t="s">
        <v>100</v>
      </c>
      <c r="F2" s="5" t="s">
        <v>99</v>
      </c>
      <c r="G2" s="5" t="s">
        <v>98</v>
      </c>
      <c r="H2" s="5" t="s">
        <v>97</v>
      </c>
      <c r="I2" s="5" t="s">
        <v>96</v>
      </c>
      <c r="J2" s="5" t="s">
        <v>95</v>
      </c>
      <c r="K2" s="5" t="s">
        <v>94</v>
      </c>
      <c r="L2" s="5" t="s">
        <v>93</v>
      </c>
      <c r="M2" s="5" t="s">
        <v>92</v>
      </c>
      <c r="N2" s="5" t="s">
        <v>91</v>
      </c>
      <c r="O2" s="5" t="s">
        <v>90</v>
      </c>
      <c r="P2" s="5" t="s">
        <v>89</v>
      </c>
      <c r="Q2" s="5" t="s">
        <v>88</v>
      </c>
      <c r="R2" s="5" t="s">
        <v>109</v>
      </c>
      <c r="U2" s="10">
        <v>2009</v>
      </c>
      <c r="V2" s="10">
        <v>2010</v>
      </c>
      <c r="W2" s="10">
        <v>2011</v>
      </c>
      <c r="X2" s="10">
        <v>2012</v>
      </c>
      <c r="Y2" s="10">
        <v>2013</v>
      </c>
      <c r="Z2" s="10">
        <v>2014</v>
      </c>
      <c r="AA2" s="10">
        <f>+Z2+1</f>
        <v>2015</v>
      </c>
      <c r="AB2" s="10">
        <f t="shared" ref="AB2:AT2" si="0">+AA2+1</f>
        <v>2016</v>
      </c>
      <c r="AC2" s="10">
        <f t="shared" si="0"/>
        <v>2017</v>
      </c>
      <c r="AD2" s="10">
        <f t="shared" si="0"/>
        <v>2018</v>
      </c>
      <c r="AE2" s="10">
        <f t="shared" si="0"/>
        <v>2019</v>
      </c>
      <c r="AF2" s="10">
        <f t="shared" si="0"/>
        <v>2020</v>
      </c>
      <c r="AG2" s="10">
        <f t="shared" si="0"/>
        <v>2021</v>
      </c>
      <c r="AH2" s="10">
        <f t="shared" si="0"/>
        <v>2022</v>
      </c>
      <c r="AI2" s="10">
        <f t="shared" si="0"/>
        <v>2023</v>
      </c>
      <c r="AJ2" s="10">
        <f t="shared" si="0"/>
        <v>2024</v>
      </c>
      <c r="AK2" s="10">
        <f t="shared" si="0"/>
        <v>2025</v>
      </c>
      <c r="AL2" s="10">
        <f t="shared" si="0"/>
        <v>2026</v>
      </c>
      <c r="AM2" s="10">
        <f t="shared" si="0"/>
        <v>2027</v>
      </c>
      <c r="AN2" s="10">
        <f t="shared" si="0"/>
        <v>2028</v>
      </c>
      <c r="AO2" s="10">
        <f t="shared" si="0"/>
        <v>2029</v>
      </c>
      <c r="AP2" s="10">
        <f t="shared" si="0"/>
        <v>2030</v>
      </c>
      <c r="AQ2" s="10">
        <f t="shared" si="0"/>
        <v>2031</v>
      </c>
      <c r="AR2" s="10">
        <f t="shared" si="0"/>
        <v>2032</v>
      </c>
      <c r="AS2" s="10">
        <f t="shared" si="0"/>
        <v>2033</v>
      </c>
      <c r="AT2" s="10">
        <f t="shared" si="0"/>
        <v>2034</v>
      </c>
      <c r="AU2" s="30">
        <f>+AT2+1</f>
        <v>2035</v>
      </c>
      <c r="AV2" s="10"/>
      <c r="AW2" s="10"/>
      <c r="AX2" s="10"/>
    </row>
    <row r="3" spans="1:50" s="16" customFormat="1" x14ac:dyDescent="0.2">
      <c r="B3" s="15" t="s">
        <v>82</v>
      </c>
      <c r="G3" s="16">
        <v>17050</v>
      </c>
      <c r="H3" s="16">
        <v>17374</v>
      </c>
      <c r="I3" s="16">
        <v>17427</v>
      </c>
      <c r="J3" s="16">
        <v>17492</v>
      </c>
      <c r="K3" s="16">
        <v>17597</v>
      </c>
      <c r="L3" s="16">
        <v>17852</v>
      </c>
      <c r="M3" s="16">
        <v>17965</v>
      </c>
      <c r="N3" s="16">
        <v>18087</v>
      </c>
      <c r="O3" s="16">
        <v>18218</v>
      </c>
      <c r="P3" s="16">
        <v>18424</v>
      </c>
      <c r="Q3" s="16">
        <v>18537</v>
      </c>
      <c r="R3" s="16">
        <v>18627</v>
      </c>
      <c r="V3" s="16">
        <v>7506</v>
      </c>
      <c r="W3" s="16">
        <v>12317</v>
      </c>
      <c r="X3" s="16">
        <v>12813</v>
      </c>
      <c r="Y3" s="16">
        <v>13493</v>
      </c>
      <c r="Z3" s="16">
        <v>14191</v>
      </c>
      <c r="AA3" s="16">
        <v>14803</v>
      </c>
      <c r="AB3" s="16">
        <v>15607</v>
      </c>
      <c r="AC3" s="16">
        <v>16814</v>
      </c>
      <c r="AD3" s="16">
        <v>17460</v>
      </c>
      <c r="AE3" s="16">
        <v>18067</v>
      </c>
      <c r="AF3" s="16">
        <v>16940</v>
      </c>
      <c r="AG3" s="16">
        <v>16826</v>
      </c>
      <c r="AH3" s="16">
        <v>17312</v>
      </c>
      <c r="AI3" s="16">
        <v>17775</v>
      </c>
      <c r="AJ3" s="16">
        <f>+AVERAGE(M3:P3)</f>
        <v>18173.5</v>
      </c>
    </row>
    <row r="4" spans="1:50" s="16" customFormat="1" x14ac:dyDescent="0.2">
      <c r="B4" s="15" t="s">
        <v>83</v>
      </c>
      <c r="H4" s="16">
        <v>18416</v>
      </c>
      <c r="I4" s="16">
        <v>18789</v>
      </c>
      <c r="J4" s="16">
        <v>19152</v>
      </c>
      <c r="K4" s="16">
        <v>19630</v>
      </c>
      <c r="L4" s="16">
        <v>20228</v>
      </c>
      <c r="M4" s="16">
        <v>20656</v>
      </c>
      <c r="N4" s="16">
        <v>20886</v>
      </c>
      <c r="O4" s="16">
        <v>21279</v>
      </c>
      <c r="P4" s="16">
        <v>21775</v>
      </c>
      <c r="Q4" s="16">
        <v>22039</v>
      </c>
      <c r="R4" s="16">
        <v>22162</v>
      </c>
      <c r="V4" s="16">
        <v>2182</v>
      </c>
      <c r="W4" s="16">
        <v>6216</v>
      </c>
      <c r="X4" s="16">
        <v>5253</v>
      </c>
      <c r="Y4" s="16">
        <v>6274</v>
      </c>
      <c r="Z4" s="16">
        <v>7175</v>
      </c>
      <c r="AA4" s="16">
        <v>8240</v>
      </c>
      <c r="AB4" s="16">
        <v>9478</v>
      </c>
      <c r="AC4" s="16">
        <v>10525</v>
      </c>
      <c r="AD4" s="16">
        <v>11864</v>
      </c>
      <c r="AE4" s="16">
        <v>13189</v>
      </c>
      <c r="AF4" s="16">
        <v>15720</v>
      </c>
      <c r="AG4" s="16">
        <v>17007</v>
      </c>
      <c r="AH4" s="16">
        <v>18887</v>
      </c>
      <c r="AI4" s="16">
        <v>20709</v>
      </c>
      <c r="AJ4" s="16">
        <f>+AVERAGE(M4:P4)</f>
        <v>21149</v>
      </c>
    </row>
    <row r="5" spans="1:50" s="16" customFormat="1" x14ac:dyDescent="0.2">
      <c r="B5" s="15" t="s">
        <v>84</v>
      </c>
      <c r="H5" s="16">
        <f>+SUM(H4+H3)</f>
        <v>35790</v>
      </c>
      <c r="I5" s="16">
        <f>+SUM(I4+I3)</f>
        <v>36216</v>
      </c>
      <c r="J5" s="16">
        <f>+SUM(J4+J3)</f>
        <v>36644</v>
      </c>
      <c r="K5" s="16">
        <f>+SUM(K4+K3)</f>
        <v>37227</v>
      </c>
      <c r="L5" s="16">
        <f>+SUM(L4+L3)</f>
        <v>38080</v>
      </c>
      <c r="M5" s="16">
        <f>+SUM(M4+M3)</f>
        <v>38621</v>
      </c>
      <c r="N5" s="16">
        <f>+SUM(N4+N3)</f>
        <v>38973</v>
      </c>
      <c r="O5" s="16">
        <f>+SUM(O4+O3)</f>
        <v>39497</v>
      </c>
      <c r="P5" s="16">
        <f>+SUM(P4+P3)</f>
        <v>40199</v>
      </c>
      <c r="Q5" s="16">
        <f>+SUM(Q4+Q3)</f>
        <v>40576</v>
      </c>
      <c r="R5" s="16">
        <f>+SUM(R4+R3)</f>
        <v>40789</v>
      </c>
      <c r="S5" s="17"/>
      <c r="T5" s="17"/>
      <c r="V5" s="16">
        <f>+SUM(V4+V3)</f>
        <v>9688</v>
      </c>
      <c r="W5" s="16">
        <f>+SUM(W4+W3)</f>
        <v>18533</v>
      </c>
      <c r="X5" s="16">
        <f>+SUM(X4+X3)</f>
        <v>18066</v>
      </c>
      <c r="Y5" s="16">
        <f>+SUM(Y4+Y3)</f>
        <v>19767</v>
      </c>
      <c r="Z5" s="16">
        <f>+SUM(Z4+Z3)</f>
        <v>21366</v>
      </c>
      <c r="AA5" s="16">
        <f>+SUM(AA4+AA3)</f>
        <v>23043</v>
      </c>
      <c r="AB5" s="16">
        <f>+SUM(AB4+AB3)</f>
        <v>25085</v>
      </c>
      <c r="AC5" s="16">
        <f>+SUM(AC4+AC3)</f>
        <v>27339</v>
      </c>
      <c r="AD5" s="16">
        <f>+SUM(AD4+AD3)</f>
        <v>29324</v>
      </c>
      <c r="AE5" s="16">
        <f>+SUM(AE4+AE3)</f>
        <v>31256</v>
      </c>
      <c r="AF5" s="16">
        <f>+SUM(AF4+AF3)</f>
        <v>32660</v>
      </c>
      <c r="AG5" s="16">
        <f>+SUM(AG4+AG3)</f>
        <v>33833</v>
      </c>
      <c r="AH5" s="16">
        <f>+SUM(AH4+AH3)</f>
        <v>36199</v>
      </c>
      <c r="AI5" s="16">
        <f>+SUM(AI4+AI3)</f>
        <v>38484</v>
      </c>
      <c r="AJ5" s="16">
        <f>+SUM(AJ4+AJ3)</f>
        <v>39322.5</v>
      </c>
    </row>
    <row r="6" spans="1:50" s="16" customFormat="1" x14ac:dyDescent="0.2">
      <c r="B6" s="15"/>
      <c r="S6" s="17"/>
      <c r="T6" s="17"/>
    </row>
    <row r="7" spans="1:50" s="16" customFormat="1" x14ac:dyDescent="0.2">
      <c r="B7" s="15" t="s">
        <v>104</v>
      </c>
      <c r="L7" s="16">
        <v>6900</v>
      </c>
      <c r="M7" s="16">
        <v>7120.7</v>
      </c>
      <c r="N7" s="16">
        <v>6380</v>
      </c>
      <c r="P7" s="16">
        <v>6691.9</v>
      </c>
      <c r="Q7" s="16">
        <v>7071.9</v>
      </c>
      <c r="R7" s="16">
        <v>6472.7</v>
      </c>
      <c r="S7" s="17"/>
      <c r="T7" s="17"/>
    </row>
    <row r="8" spans="1:50" s="16" customFormat="1" x14ac:dyDescent="0.2">
      <c r="B8" s="15" t="s">
        <v>103</v>
      </c>
      <c r="L8" s="16">
        <v>1979.9</v>
      </c>
      <c r="M8" s="16">
        <v>1846.3</v>
      </c>
      <c r="N8" s="16">
        <v>1757.3</v>
      </c>
      <c r="P8" s="16">
        <v>1893.2</v>
      </c>
      <c r="Q8" s="16">
        <v>1871.3</v>
      </c>
      <c r="R8" s="16">
        <v>1867.1</v>
      </c>
      <c r="S8" s="17"/>
      <c r="T8" s="17"/>
    </row>
    <row r="9" spans="1:50" s="16" customFormat="1" x14ac:dyDescent="0.2">
      <c r="B9" s="15" t="s">
        <v>105</v>
      </c>
      <c r="I9" s="16">
        <f t="shared" ref="I9:P9" si="1">+SUM(I7:I8)</f>
        <v>0</v>
      </c>
      <c r="J9" s="16">
        <f t="shared" si="1"/>
        <v>0</v>
      </c>
      <c r="K9" s="16">
        <f t="shared" si="1"/>
        <v>0</v>
      </c>
      <c r="L9" s="16">
        <f t="shared" si="1"/>
        <v>8879.9</v>
      </c>
      <c r="M9" s="16">
        <f t="shared" si="1"/>
        <v>8967</v>
      </c>
      <c r="N9" s="16">
        <f t="shared" si="1"/>
        <v>8137.3</v>
      </c>
      <c r="O9" s="16">
        <f t="shared" si="1"/>
        <v>0</v>
      </c>
      <c r="P9" s="16">
        <f t="shared" si="1"/>
        <v>8585.1</v>
      </c>
      <c r="Q9" s="16">
        <f>+SUM(Q7:Q8)</f>
        <v>8943.1999999999989</v>
      </c>
      <c r="R9" s="16">
        <f>+SUM(R7:R8)</f>
        <v>8339.7999999999993</v>
      </c>
      <c r="S9" s="17"/>
      <c r="T9" s="17"/>
    </row>
    <row r="10" spans="1:50" s="16" customFormat="1" x14ac:dyDescent="0.2">
      <c r="B10" s="15"/>
      <c r="S10" s="17"/>
      <c r="T10" s="17"/>
    </row>
    <row r="11" spans="1:50" s="16" customFormat="1" x14ac:dyDescent="0.2">
      <c r="B11" s="15" t="s">
        <v>106</v>
      </c>
      <c r="L11" s="16">
        <f>+(L7/L3)*1000</f>
        <v>386.51131525879453</v>
      </c>
      <c r="M11" s="16">
        <f>+(M7/M3)*1000</f>
        <v>396.36515446701918</v>
      </c>
      <c r="N11" s="16">
        <f>+(N7/N3)*1000</f>
        <v>352.73953668380602</v>
      </c>
      <c r="P11" s="16">
        <f>+(P7/P3)*1000</f>
        <v>363.21645679548413</v>
      </c>
      <c r="Q11" s="16">
        <f>+(Q7/Q3)*1000</f>
        <v>381.50186114257968</v>
      </c>
      <c r="R11" s="16">
        <f>+(R7/R3)*1000</f>
        <v>347.49020239437374</v>
      </c>
      <c r="S11" s="17"/>
      <c r="T11" s="17"/>
    </row>
    <row r="12" spans="1:50" s="16" customFormat="1" x14ac:dyDescent="0.2">
      <c r="B12" s="15" t="s">
        <v>107</v>
      </c>
      <c r="L12" s="16">
        <f>+(L8/L4)*1000</f>
        <v>97.879177377892034</v>
      </c>
      <c r="M12" s="16">
        <f>+(M8/M4)*1000</f>
        <v>89.383230054221542</v>
      </c>
      <c r="N12" s="16">
        <f>+(N8/N4)*1000</f>
        <v>84.137699894666284</v>
      </c>
      <c r="P12" s="16">
        <f>+(P8/P4)*1000</f>
        <v>86.943742824339836</v>
      </c>
      <c r="Q12" s="16">
        <f>+(Q8/Q4)*1000</f>
        <v>84.908571169290809</v>
      </c>
      <c r="R12" s="16">
        <f>+(R8/R4)*1000</f>
        <v>84.247811569352947</v>
      </c>
      <c r="S12" s="17"/>
      <c r="T12" s="17"/>
    </row>
    <row r="13" spans="1:50" s="16" customFormat="1" x14ac:dyDescent="0.2">
      <c r="B13" s="15" t="s">
        <v>108</v>
      </c>
      <c r="L13" s="16">
        <f>+(L9/L5)*1000</f>
        <v>233.19065126050421</v>
      </c>
      <c r="M13" s="16">
        <f>+(M9/M5)*1000</f>
        <v>232.17938427280495</v>
      </c>
      <c r="N13" s="16">
        <f>+(N9/N5)*1000</f>
        <v>208.79326713365666</v>
      </c>
      <c r="P13" s="16">
        <f>+(P9/P5)*1000</f>
        <v>213.56501405507601</v>
      </c>
      <c r="Q13" s="16">
        <f>+(Q9/Q5)*1000</f>
        <v>220.40615141955834</v>
      </c>
      <c r="R13" s="16">
        <f>+(R9/R5)*1000</f>
        <v>204.46198730049767</v>
      </c>
      <c r="S13" s="17"/>
      <c r="T13" s="17"/>
    </row>
    <row r="14" spans="1:50" s="5" customFormat="1" x14ac:dyDescent="0.2">
      <c r="B14" s="2"/>
      <c r="S14" s="18"/>
      <c r="T14" s="19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</row>
    <row r="15" spans="1:50" x14ac:dyDescent="0.2">
      <c r="B15" s="2" t="s">
        <v>61</v>
      </c>
      <c r="C15" s="2">
        <v>6363.1</v>
      </c>
      <c r="D15" s="2">
        <v>6864.3</v>
      </c>
      <c r="E15" s="2">
        <v>6722.4</v>
      </c>
      <c r="F15" s="2">
        <v>6276.7</v>
      </c>
      <c r="G15" s="2">
        <v>6675.5</v>
      </c>
      <c r="H15" s="2">
        <v>6901.4</v>
      </c>
      <c r="I15" s="2">
        <v>7083.5</v>
      </c>
      <c r="J15" s="2">
        <v>7142.3</v>
      </c>
      <c r="K15" s="2">
        <v>7556.7</v>
      </c>
      <c r="L15" s="2">
        <v>7679.9</v>
      </c>
      <c r="M15" s="2">
        <v>7755.2</v>
      </c>
      <c r="N15" s="2">
        <v>7052.6</v>
      </c>
      <c r="O15" s="2">
        <v>7516</v>
      </c>
      <c r="P15" s="2">
        <v>7442.1</v>
      </c>
      <c r="Q15" s="2">
        <v>7785.3</v>
      </c>
      <c r="R15" s="2">
        <v>7285</v>
      </c>
      <c r="S15" s="21"/>
      <c r="T15" s="21"/>
      <c r="U15" s="2">
        <v>8180.1</v>
      </c>
      <c r="V15" s="2">
        <v>8963.5</v>
      </c>
      <c r="W15" s="2">
        <v>9632.4</v>
      </c>
      <c r="X15" s="2">
        <v>10534.5</v>
      </c>
      <c r="Y15" s="2">
        <v>11793.2</v>
      </c>
      <c r="Z15" s="2">
        <v>12977.9</v>
      </c>
      <c r="AA15" s="2">
        <v>15197.3</v>
      </c>
      <c r="AB15" s="2">
        <v>16844.099999999999</v>
      </c>
      <c r="AC15" s="2">
        <v>17650.7</v>
      </c>
      <c r="AD15" s="2">
        <v>19690.3</v>
      </c>
      <c r="AE15" s="2">
        <v>21544.400000000001</v>
      </c>
      <c r="AF15" s="2">
        <v>19164.599999999999</v>
      </c>
      <c r="AG15" s="2">
        <v>24607</v>
      </c>
      <c r="AH15" s="2">
        <v>26576.1</v>
      </c>
      <c r="AI15" s="2">
        <v>29462.3</v>
      </c>
      <c r="AJ15" s="15">
        <f>+SUM(M15:P15)</f>
        <v>29765.9</v>
      </c>
    </row>
    <row r="16" spans="1:50" x14ac:dyDescent="0.2">
      <c r="B16" s="2" t="s">
        <v>62</v>
      </c>
      <c r="C16" s="2">
        <v>680.2</v>
      </c>
      <c r="D16" s="2">
        <v>794.5</v>
      </c>
      <c r="E16" s="2">
        <v>850.8</v>
      </c>
      <c r="F16" s="2">
        <v>849.5</v>
      </c>
      <c r="G16" s="2">
        <v>956.8</v>
      </c>
      <c r="H16" s="2">
        <v>998.4</v>
      </c>
      <c r="I16" s="2">
        <v>1119.5</v>
      </c>
      <c r="J16" s="2">
        <v>1069.5</v>
      </c>
      <c r="K16" s="2">
        <v>1136.2</v>
      </c>
      <c r="L16" s="2">
        <v>1187.5</v>
      </c>
      <c r="M16" s="2">
        <v>1192.0999999999999</v>
      </c>
      <c r="N16" s="2">
        <v>1054.5</v>
      </c>
      <c r="O16" s="2">
        <v>1129</v>
      </c>
      <c r="P16" s="2">
        <v>1129.5</v>
      </c>
      <c r="Q16" s="2">
        <v>1135.7</v>
      </c>
      <c r="R16" s="2">
        <v>1016</v>
      </c>
      <c r="S16" s="21"/>
      <c r="T16" s="21"/>
      <c r="U16" s="2">
        <v>795</v>
      </c>
      <c r="V16" s="2">
        <v>875.2</v>
      </c>
      <c r="W16" s="2">
        <v>1007.5</v>
      </c>
      <c r="X16" s="2">
        <v>1210.3</v>
      </c>
      <c r="Y16" s="2">
        <v>1360.5</v>
      </c>
      <c r="Z16" s="2">
        <v>1588.6</v>
      </c>
      <c r="AA16" s="2">
        <v>1861.9</v>
      </c>
      <c r="AB16" s="2">
        <v>2154.1999999999998</v>
      </c>
      <c r="AC16" s="2">
        <v>2355</v>
      </c>
      <c r="AD16" s="2">
        <v>2652.2</v>
      </c>
      <c r="AE16" s="2">
        <v>2875</v>
      </c>
      <c r="AF16" s="2">
        <v>2327.1</v>
      </c>
      <c r="AG16" s="2">
        <v>2683.6</v>
      </c>
      <c r="AH16" s="2">
        <v>3655.5</v>
      </c>
      <c r="AI16" s="2">
        <v>4512.7</v>
      </c>
      <c r="AJ16" s="15">
        <f t="shared" ref="AJ15:AJ22" si="2">+SUM(M16:P16)</f>
        <v>4505.1000000000004</v>
      </c>
    </row>
    <row r="17" spans="2:151" x14ac:dyDescent="0.2">
      <c r="B17" s="2" t="s">
        <v>60</v>
      </c>
      <c r="C17" s="2">
        <v>453.2</v>
      </c>
      <c r="D17" s="2">
        <v>487.9</v>
      </c>
      <c r="E17" s="2">
        <v>477.2</v>
      </c>
      <c r="F17" s="2">
        <v>509.4</v>
      </c>
      <c r="G17" s="2">
        <v>517.79999999999995</v>
      </c>
      <c r="H17" s="2">
        <v>514.4</v>
      </c>
      <c r="I17" s="2">
        <v>510.9</v>
      </c>
      <c r="J17" s="2">
        <v>508</v>
      </c>
      <c r="K17" s="2">
        <v>475.4</v>
      </c>
      <c r="L17" s="2">
        <v>506.2</v>
      </c>
      <c r="M17" s="2">
        <v>478</v>
      </c>
      <c r="N17" s="2">
        <v>455.9</v>
      </c>
      <c r="O17" s="2">
        <v>468.9</v>
      </c>
      <c r="P17" s="2">
        <v>502.4</v>
      </c>
      <c r="Q17" s="2">
        <v>476.8</v>
      </c>
      <c r="R17" s="2">
        <v>460.6</v>
      </c>
      <c r="S17" s="21"/>
      <c r="T17" s="21"/>
      <c r="U17" s="2">
        <v>799.5</v>
      </c>
      <c r="V17" s="2">
        <v>868.7</v>
      </c>
      <c r="W17" s="2">
        <v>1060.5</v>
      </c>
      <c r="X17" s="2">
        <v>1554.7</v>
      </c>
      <c r="Y17" s="2">
        <v>1713.1</v>
      </c>
      <c r="Z17" s="2">
        <v>1881.3</v>
      </c>
      <c r="AA17" s="2">
        <v>2103.5</v>
      </c>
      <c r="AB17" s="2">
        <v>2317.6</v>
      </c>
      <c r="AC17" s="2">
        <v>2381.1</v>
      </c>
      <c r="AD17" s="2">
        <v>2377</v>
      </c>
      <c r="AE17" s="2">
        <v>2089.1999999999998</v>
      </c>
      <c r="AF17" s="2">
        <v>2026.3</v>
      </c>
      <c r="AG17" s="2">
        <v>1770</v>
      </c>
      <c r="AH17" s="2">
        <v>2018.7</v>
      </c>
      <c r="AI17" s="2">
        <v>2000.6</v>
      </c>
      <c r="AJ17" s="15">
        <f t="shared" si="2"/>
        <v>1905.1999999999998</v>
      </c>
      <c r="BA17" s="6"/>
    </row>
    <row r="18" spans="2:151" s="8" customFormat="1" x14ac:dyDescent="0.2">
      <c r="B18" s="8" t="s">
        <v>7</v>
      </c>
      <c r="C18" s="8">
        <f t="shared" ref="C18:M18" si="3">+SUM(C15:C17)</f>
        <v>7496.5</v>
      </c>
      <c r="D18" s="8">
        <f t="shared" si="3"/>
        <v>8146.7</v>
      </c>
      <c r="E18" s="8">
        <f t="shared" si="3"/>
        <v>8050.4</v>
      </c>
      <c r="F18" s="8">
        <f t="shared" si="3"/>
        <v>7635.5999999999995</v>
      </c>
      <c r="G18" s="8">
        <f t="shared" si="3"/>
        <v>8150.1</v>
      </c>
      <c r="H18" s="8">
        <f t="shared" si="3"/>
        <v>8414.1999999999989</v>
      </c>
      <c r="I18" s="8">
        <f t="shared" si="3"/>
        <v>8713.9</v>
      </c>
      <c r="J18" s="8">
        <f t="shared" si="3"/>
        <v>8719.7999999999993</v>
      </c>
      <c r="K18" s="8">
        <f t="shared" si="3"/>
        <v>9168.2999999999993</v>
      </c>
      <c r="L18" s="8">
        <f t="shared" si="3"/>
        <v>9373.6</v>
      </c>
      <c r="M18" s="8">
        <f t="shared" si="3"/>
        <v>9425.2999999999993</v>
      </c>
      <c r="N18" s="8">
        <f>+SUM(N15:N17)</f>
        <v>8563</v>
      </c>
      <c r="O18" s="8">
        <f>+SUM(O15:O17)</f>
        <v>9113.9</v>
      </c>
      <c r="P18" s="8">
        <f>+SUM(P15:P17)</f>
        <v>9074</v>
      </c>
      <c r="Q18" s="8">
        <f>+SUM(Q15:Q17)</f>
        <v>9397.7999999999993</v>
      </c>
      <c r="R18" s="8">
        <f>+SUM(R15:R17)</f>
        <v>8761.6</v>
      </c>
      <c r="S18" s="21"/>
      <c r="T18" s="21"/>
      <c r="U18" s="8">
        <f t="shared" ref="U18:AH18" si="4">+SUM(U15:U17)</f>
        <v>9774.6</v>
      </c>
      <c r="V18" s="8">
        <f t="shared" si="4"/>
        <v>10707.400000000001</v>
      </c>
      <c r="W18" s="8">
        <f t="shared" si="4"/>
        <v>11700.4</v>
      </c>
      <c r="X18" s="8">
        <f t="shared" si="4"/>
        <v>13299.5</v>
      </c>
      <c r="Y18" s="8">
        <f t="shared" si="4"/>
        <v>14866.800000000001</v>
      </c>
      <c r="Z18" s="8">
        <f t="shared" si="4"/>
        <v>16447.8</v>
      </c>
      <c r="AA18" s="8">
        <f t="shared" si="4"/>
        <v>19162.7</v>
      </c>
      <c r="AB18" s="8">
        <f t="shared" si="4"/>
        <v>21315.899999999998</v>
      </c>
      <c r="AC18" s="8">
        <f t="shared" si="4"/>
        <v>22386.799999999999</v>
      </c>
      <c r="AD18" s="8">
        <f t="shared" si="4"/>
        <v>24719.5</v>
      </c>
      <c r="AE18" s="8">
        <f t="shared" si="4"/>
        <v>26508.600000000002</v>
      </c>
      <c r="AF18" s="8">
        <f t="shared" si="4"/>
        <v>23517.999999999996</v>
      </c>
      <c r="AG18" s="8">
        <f t="shared" si="4"/>
        <v>29060.6</v>
      </c>
      <c r="AH18" s="8">
        <f t="shared" si="4"/>
        <v>32250.3</v>
      </c>
      <c r="AI18" s="8">
        <f>+SUM(AI15:AI17)</f>
        <v>35975.599999999999</v>
      </c>
      <c r="AJ18" s="8">
        <f>+SUM(M18:P18)</f>
        <v>36176.199999999997</v>
      </c>
      <c r="AK18" s="8">
        <f>+AJ18*1.08</f>
        <v>39070.296000000002</v>
      </c>
      <c r="AL18" s="8">
        <f t="shared" ref="AL18:AU18" si="5">+AK18*1.08</f>
        <v>42195.919680000006</v>
      </c>
      <c r="AM18" s="8">
        <f t="shared" si="5"/>
        <v>45571.59325440001</v>
      </c>
      <c r="AN18" s="8">
        <f t="shared" si="5"/>
        <v>49217.320714752015</v>
      </c>
      <c r="AO18" s="8">
        <f t="shared" si="5"/>
        <v>53154.706371932181</v>
      </c>
      <c r="AP18" s="8">
        <f t="shared" si="5"/>
        <v>57407.082881686758</v>
      </c>
      <c r="AQ18" s="8">
        <f t="shared" si="5"/>
        <v>61999.649512221702</v>
      </c>
      <c r="AR18" s="8">
        <f t="shared" si="5"/>
        <v>66959.621473199441</v>
      </c>
      <c r="AS18" s="8">
        <f t="shared" si="5"/>
        <v>72316.391191055402</v>
      </c>
      <c r="AT18" s="8">
        <f t="shared" si="5"/>
        <v>78101.70248633984</v>
      </c>
      <c r="AU18" s="8">
        <f t="shared" si="5"/>
        <v>84349.838685247028</v>
      </c>
      <c r="AY18" s="12"/>
    </row>
    <row r="19" spans="2:151" x14ac:dyDescent="0.2">
      <c r="B19" s="2" t="s">
        <v>67</v>
      </c>
      <c r="C19" s="2">
        <v>2206</v>
      </c>
      <c r="D19" s="2">
        <v>2491.1</v>
      </c>
      <c r="E19" s="2">
        <v>2526.9</v>
      </c>
      <c r="F19" s="2">
        <v>2465.8000000000002</v>
      </c>
      <c r="G19" s="2">
        <v>2613.6</v>
      </c>
      <c r="H19" s="2">
        <v>2711</v>
      </c>
      <c r="I19" s="2">
        <v>2810.2</v>
      </c>
      <c r="J19" s="2">
        <v>2801.7</v>
      </c>
      <c r="K19" s="2">
        <v>2864.2</v>
      </c>
      <c r="L19" s="2">
        <v>2933.1</v>
      </c>
      <c r="M19" s="2">
        <v>2980.6</v>
      </c>
      <c r="N19" s="2">
        <v>2648.7</v>
      </c>
      <c r="O19" s="2">
        <v>2740.9</v>
      </c>
      <c r="P19" s="2">
        <v>2810.3</v>
      </c>
      <c r="Q19" s="2">
        <v>2893.7</v>
      </c>
      <c r="R19" s="2">
        <v>2737.6</v>
      </c>
      <c r="S19" s="21"/>
      <c r="T19" s="21"/>
      <c r="U19" s="2">
        <v>4324.8999999999996</v>
      </c>
      <c r="V19" s="2">
        <v>4458.6000000000004</v>
      </c>
      <c r="W19" s="2">
        <v>4915.5</v>
      </c>
      <c r="X19" s="2">
        <v>5813.3</v>
      </c>
      <c r="Y19" s="2">
        <v>6382.3</v>
      </c>
      <c r="Z19" s="2">
        <v>6858.8</v>
      </c>
      <c r="AA19" s="2">
        <v>7787.5</v>
      </c>
      <c r="AB19" s="2">
        <v>8509</v>
      </c>
      <c r="AC19" s="2">
        <v>9034.4</v>
      </c>
      <c r="AD19" s="2">
        <v>10174.5</v>
      </c>
      <c r="AE19" s="2">
        <v>8526.9</v>
      </c>
      <c r="AF19" s="2">
        <v>7694.9</v>
      </c>
      <c r="AG19" s="2">
        <v>8738.7000000000007</v>
      </c>
      <c r="AH19" s="2">
        <v>10317.4</v>
      </c>
      <c r="AI19" s="2">
        <v>11409.1</v>
      </c>
      <c r="AJ19" s="15">
        <f t="shared" si="2"/>
        <v>11180.5</v>
      </c>
      <c r="AK19" s="2">
        <f t="shared" ref="AK19:AU19" si="6">+AJ19*1.07</f>
        <v>11963.135</v>
      </c>
      <c r="AL19" s="2">
        <f t="shared" si="6"/>
        <v>12800.554450000001</v>
      </c>
      <c r="AM19" s="2">
        <f t="shared" si="6"/>
        <v>13696.593261500002</v>
      </c>
      <c r="AN19" s="2">
        <f t="shared" si="6"/>
        <v>14655.354789805004</v>
      </c>
      <c r="AO19" s="2">
        <f t="shared" si="6"/>
        <v>15681.229625091355</v>
      </c>
      <c r="AP19" s="2">
        <f t="shared" si="6"/>
        <v>16778.915698847752</v>
      </c>
      <c r="AQ19" s="2">
        <f t="shared" si="6"/>
        <v>17953.439797767096</v>
      </c>
      <c r="AR19" s="2">
        <f t="shared" si="6"/>
        <v>19210.180583610792</v>
      </c>
      <c r="AS19" s="2">
        <f t="shared" si="6"/>
        <v>20554.893224463551</v>
      </c>
      <c r="AT19" s="2">
        <f t="shared" si="6"/>
        <v>21993.735750176002</v>
      </c>
      <c r="AU19" s="2">
        <f t="shared" si="6"/>
        <v>23533.297252688324</v>
      </c>
    </row>
    <row r="20" spans="2:151" x14ac:dyDescent="0.2">
      <c r="B20" s="2" t="s">
        <v>8</v>
      </c>
      <c r="C20" s="2">
        <v>2966.9</v>
      </c>
      <c r="D20" s="2">
        <v>3273.4</v>
      </c>
      <c r="E20" s="2">
        <v>3400</v>
      </c>
      <c r="F20" s="2">
        <v>3314.7</v>
      </c>
      <c r="G20" s="2">
        <v>3302.5</v>
      </c>
      <c r="H20" s="2">
        <v>3544.7</v>
      </c>
      <c r="I20" s="2">
        <v>3665.3</v>
      </c>
      <c r="J20" s="2">
        <v>3636</v>
      </c>
      <c r="K20" s="2">
        <v>3697.6</v>
      </c>
      <c r="L20" s="2">
        <v>3721.3</v>
      </c>
      <c r="M20" s="2">
        <v>3851.5</v>
      </c>
      <c r="N20" s="2">
        <v>3724.1</v>
      </c>
      <c r="O20" s="2">
        <v>3829.1</v>
      </c>
      <c r="P20" s="2">
        <v>3881.7</v>
      </c>
      <c r="Q20" s="2">
        <v>4203</v>
      </c>
      <c r="R20" s="2">
        <v>4176</v>
      </c>
      <c r="S20" s="21"/>
      <c r="T20" s="21"/>
      <c r="U20" s="2">
        <v>3425.1</v>
      </c>
      <c r="V20" s="2">
        <v>3551.4</v>
      </c>
      <c r="W20" s="2">
        <v>3594.9</v>
      </c>
      <c r="X20" s="2">
        <v>3918.1</v>
      </c>
      <c r="Y20" s="2">
        <v>4286.1000000000004</v>
      </c>
      <c r="Z20" s="2">
        <v>4638.2</v>
      </c>
      <c r="AA20" s="2">
        <v>5411.1</v>
      </c>
      <c r="AB20" s="2">
        <v>6064.3</v>
      </c>
      <c r="AC20" s="2">
        <v>6493.3</v>
      </c>
      <c r="AD20" s="2">
        <v>7193.2</v>
      </c>
      <c r="AE20" s="2">
        <v>10493.6</v>
      </c>
      <c r="AF20" s="2">
        <v>10764</v>
      </c>
      <c r="AG20" s="2">
        <v>11930.9</v>
      </c>
      <c r="AH20" s="2">
        <v>13561.8</v>
      </c>
      <c r="AI20" s="2">
        <v>14720.3</v>
      </c>
      <c r="AJ20" s="15">
        <f t="shared" si="2"/>
        <v>15286.400000000001</v>
      </c>
      <c r="AK20" s="2">
        <f t="shared" ref="AK20:AU20" si="7">+AJ20*1.1</f>
        <v>16815.040000000005</v>
      </c>
      <c r="AL20" s="2">
        <f t="shared" si="7"/>
        <v>18496.544000000005</v>
      </c>
      <c r="AM20" s="2">
        <f t="shared" si="7"/>
        <v>20346.198400000008</v>
      </c>
      <c r="AN20" s="2">
        <f t="shared" si="7"/>
        <v>22380.818240000011</v>
      </c>
      <c r="AO20" s="2">
        <f t="shared" si="7"/>
        <v>24618.900064000016</v>
      </c>
      <c r="AP20" s="2">
        <f t="shared" si="7"/>
        <v>27080.79007040002</v>
      </c>
      <c r="AQ20" s="2">
        <f t="shared" si="7"/>
        <v>29788.869077440024</v>
      </c>
      <c r="AR20" s="2">
        <f t="shared" si="7"/>
        <v>32767.755985184031</v>
      </c>
      <c r="AS20" s="2">
        <f t="shared" si="7"/>
        <v>36044.531583702439</v>
      </c>
      <c r="AT20" s="2">
        <f t="shared" si="7"/>
        <v>39648.984742072687</v>
      </c>
      <c r="AU20" s="2">
        <f t="shared" si="7"/>
        <v>43613.883216279959</v>
      </c>
    </row>
    <row r="21" spans="2:151" x14ac:dyDescent="0.2">
      <c r="B21" s="2" t="s">
        <v>6</v>
      </c>
      <c r="C21" s="2">
        <v>71.400000000000006</v>
      </c>
      <c r="D21" s="2">
        <v>108.6</v>
      </c>
      <c r="E21" s="2">
        <v>101.7</v>
      </c>
      <c r="F21" s="2">
        <v>101.7</v>
      </c>
      <c r="G21" s="2">
        <v>135.1</v>
      </c>
      <c r="H21" s="2">
        <v>123.1</v>
      </c>
      <c r="I21" s="2">
        <v>129.30000000000001</v>
      </c>
      <c r="J21" s="2">
        <v>126.2</v>
      </c>
      <c r="K21" s="2">
        <v>138.69999999999999</v>
      </c>
      <c r="L21" s="2">
        <v>145.19999999999999</v>
      </c>
      <c r="M21" s="2">
        <v>150.4</v>
      </c>
      <c r="N21" s="2">
        <v>132.80000000000001</v>
      </c>
      <c r="O21" s="2">
        <v>143.9</v>
      </c>
      <c r="P21" s="2">
        <v>138.69999999999999</v>
      </c>
      <c r="Q21" s="2">
        <v>152.5</v>
      </c>
      <c r="R21" s="2">
        <v>138.69999999999999</v>
      </c>
      <c r="S21" s="21"/>
      <c r="T21" s="21"/>
      <c r="U21" s="2">
        <v>264.39999999999998</v>
      </c>
      <c r="V21" s="2">
        <v>293.2</v>
      </c>
      <c r="W21" s="2">
        <v>392.8</v>
      </c>
      <c r="X21" s="2">
        <v>429.9</v>
      </c>
      <c r="Y21" s="2">
        <v>431.8</v>
      </c>
      <c r="Z21" s="2">
        <v>457.3</v>
      </c>
      <c r="AA21" s="2">
        <v>522.4</v>
      </c>
      <c r="AB21" s="2">
        <v>499.2</v>
      </c>
      <c r="AC21" s="2">
        <v>500.3</v>
      </c>
      <c r="AD21" s="2">
        <v>539.29999999999995</v>
      </c>
      <c r="AE21" s="2">
        <v>371</v>
      </c>
      <c r="AF21" s="2">
        <v>430.3</v>
      </c>
      <c r="AG21" s="2">
        <v>359.5</v>
      </c>
      <c r="AH21" s="2">
        <v>461.5</v>
      </c>
      <c r="AI21" s="2">
        <v>539.4</v>
      </c>
      <c r="AJ21" s="15">
        <f t="shared" si="2"/>
        <v>565.79999999999995</v>
      </c>
      <c r="AK21" s="2">
        <f t="shared" ref="AK21:AU21" si="8">+AJ21*1.05</f>
        <v>594.09</v>
      </c>
      <c r="AL21" s="2">
        <f t="shared" si="8"/>
        <v>623.79450000000008</v>
      </c>
      <c r="AM21" s="2">
        <f t="shared" si="8"/>
        <v>654.98422500000015</v>
      </c>
      <c r="AN21" s="2">
        <f t="shared" si="8"/>
        <v>687.73343625000018</v>
      </c>
      <c r="AO21" s="2">
        <f t="shared" si="8"/>
        <v>722.12010806250021</v>
      </c>
      <c r="AP21" s="2">
        <f t="shared" si="8"/>
        <v>758.2261134656253</v>
      </c>
      <c r="AQ21" s="2">
        <f t="shared" si="8"/>
        <v>796.13741913890658</v>
      </c>
      <c r="AR21" s="2">
        <f t="shared" si="8"/>
        <v>835.9442900958519</v>
      </c>
      <c r="AS21" s="2">
        <f t="shared" si="8"/>
        <v>877.74150460064448</v>
      </c>
      <c r="AT21" s="2">
        <f t="shared" si="8"/>
        <v>921.6285798306767</v>
      </c>
      <c r="AU21" s="2">
        <f t="shared" si="8"/>
        <v>967.71000882221063</v>
      </c>
    </row>
    <row r="22" spans="2:151" x14ac:dyDescent="0.2">
      <c r="B22" s="2" t="s">
        <v>9</v>
      </c>
      <c r="C22" s="2">
        <v>494.9</v>
      </c>
      <c r="D22" s="2">
        <v>501.2</v>
      </c>
      <c r="E22" s="2">
        <v>525.79999999999995</v>
      </c>
      <c r="F22" s="2">
        <v>481.5</v>
      </c>
      <c r="G22" s="2">
        <v>486.7</v>
      </c>
      <c r="H22" s="2">
        <v>538</v>
      </c>
      <c r="I22" s="2">
        <v>580.9</v>
      </c>
      <c r="J22" s="2">
        <v>620.4</v>
      </c>
      <c r="K22" s="2">
        <v>604.29999999999995</v>
      </c>
      <c r="L22" s="2">
        <v>635.79999999999995</v>
      </c>
      <c r="M22" s="2">
        <v>648</v>
      </c>
      <c r="N22" s="2">
        <v>654.6</v>
      </c>
      <c r="O22" s="2">
        <v>576</v>
      </c>
      <c r="P22" s="2">
        <v>644.79999999999995</v>
      </c>
      <c r="Q22" s="2">
        <v>665.8</v>
      </c>
      <c r="R22" s="2">
        <v>632.29999999999995</v>
      </c>
      <c r="S22" s="21"/>
      <c r="T22" s="21"/>
      <c r="U22" s="2">
        <v>453</v>
      </c>
      <c r="V22" s="2">
        <v>569.5</v>
      </c>
      <c r="W22" s="2">
        <v>749.3</v>
      </c>
      <c r="X22" s="2">
        <v>801.2</v>
      </c>
      <c r="Y22" s="2">
        <v>937.9</v>
      </c>
      <c r="Z22" s="2">
        <v>991.3</v>
      </c>
      <c r="AA22" s="2">
        <v>1196.7</v>
      </c>
      <c r="AB22" s="2">
        <v>1408.9</v>
      </c>
      <c r="AC22" s="2">
        <v>1011.4</v>
      </c>
      <c r="AD22" s="2">
        <v>1759</v>
      </c>
      <c r="AE22" s="2">
        <v>1824.1</v>
      </c>
      <c r="AF22" s="2">
        <v>1679.6</v>
      </c>
      <c r="AG22" s="2">
        <v>1932.6</v>
      </c>
      <c r="AH22" s="2">
        <v>2032</v>
      </c>
      <c r="AI22" s="2">
        <v>2441.3000000000002</v>
      </c>
      <c r="AJ22" s="15">
        <f t="shared" si="2"/>
        <v>2523.3999999999996</v>
      </c>
      <c r="AK22" s="2">
        <f t="shared" ref="AK22:AU22" si="9">+AJ22*1.12</f>
        <v>2826.2080000000001</v>
      </c>
      <c r="AL22" s="2">
        <f t="shared" si="9"/>
        <v>3165.3529600000006</v>
      </c>
      <c r="AM22" s="2">
        <f t="shared" si="9"/>
        <v>3545.195315200001</v>
      </c>
      <c r="AN22" s="2">
        <f t="shared" si="9"/>
        <v>3970.6187530240013</v>
      </c>
      <c r="AO22" s="2">
        <f t="shared" si="9"/>
        <v>4447.0930033868817</v>
      </c>
      <c r="AP22" s="2">
        <f t="shared" si="9"/>
        <v>4980.744163793308</v>
      </c>
      <c r="AQ22" s="2">
        <f t="shared" si="9"/>
        <v>5578.4334634485058</v>
      </c>
      <c r="AR22" s="2">
        <f t="shared" si="9"/>
        <v>6247.8454790623273</v>
      </c>
      <c r="AS22" s="2">
        <f t="shared" si="9"/>
        <v>6997.5869365498074</v>
      </c>
      <c r="AT22" s="2">
        <f t="shared" si="9"/>
        <v>7837.297368935785</v>
      </c>
      <c r="AU22" s="2">
        <f t="shared" si="9"/>
        <v>8777.7730532080805</v>
      </c>
    </row>
    <row r="23" spans="2:151" x14ac:dyDescent="0.2">
      <c r="B23" s="2" t="s">
        <v>10</v>
      </c>
      <c r="C23" s="2">
        <f>+SUM(C19:C22)</f>
        <v>5739.1999999999989</v>
      </c>
      <c r="D23" s="2">
        <f t="shared" ref="D23:O23" si="10">+SUM(D19:D22)</f>
        <v>6374.3</v>
      </c>
      <c r="E23" s="2">
        <f t="shared" si="10"/>
        <v>6554.4</v>
      </c>
      <c r="F23" s="2">
        <f t="shared" si="10"/>
        <v>6363.7</v>
      </c>
      <c r="G23" s="2">
        <f t="shared" si="10"/>
        <v>6537.9000000000005</v>
      </c>
      <c r="H23" s="2">
        <f t="shared" si="10"/>
        <v>6916.8</v>
      </c>
      <c r="I23" s="2">
        <f t="shared" si="10"/>
        <v>7185.7</v>
      </c>
      <c r="J23" s="2">
        <f>+SUM(J19:J22)</f>
        <v>7184.2999999999993</v>
      </c>
      <c r="K23" s="2">
        <f t="shared" si="10"/>
        <v>7304.7999999999993</v>
      </c>
      <c r="L23" s="2">
        <f t="shared" si="10"/>
        <v>7435.4</v>
      </c>
      <c r="M23" s="2">
        <f t="shared" si="10"/>
        <v>7630.5</v>
      </c>
      <c r="N23" s="2">
        <f t="shared" si="10"/>
        <v>7160.2</v>
      </c>
      <c r="O23" s="2">
        <f t="shared" si="10"/>
        <v>7289.9</v>
      </c>
      <c r="P23" s="2">
        <f t="shared" ref="P23:Q23" si="11">+SUM(P19:P22)</f>
        <v>7475.5</v>
      </c>
      <c r="Q23" s="2">
        <f t="shared" si="11"/>
        <v>7915</v>
      </c>
      <c r="R23" s="2">
        <f t="shared" ref="R23" si="12">+SUM(R19:R22)</f>
        <v>7684.6</v>
      </c>
      <c r="U23" s="2">
        <f t="shared" ref="U23:AI23" si="13">+SUM(U19:U22)</f>
        <v>8467.4</v>
      </c>
      <c r="V23" s="2">
        <f t="shared" si="13"/>
        <v>8872.7000000000007</v>
      </c>
      <c r="W23" s="2">
        <f t="shared" si="13"/>
        <v>9652.4999999999982</v>
      </c>
      <c r="X23" s="2">
        <f t="shared" si="13"/>
        <v>10962.5</v>
      </c>
      <c r="Y23" s="2">
        <f t="shared" si="13"/>
        <v>12038.1</v>
      </c>
      <c r="Z23" s="2">
        <f t="shared" si="13"/>
        <v>12945.599999999999</v>
      </c>
      <c r="AA23" s="2">
        <f t="shared" si="13"/>
        <v>14917.7</v>
      </c>
      <c r="AB23" s="2">
        <f t="shared" si="13"/>
        <v>16481.400000000001</v>
      </c>
      <c r="AC23" s="2">
        <f t="shared" si="13"/>
        <v>17039.400000000001</v>
      </c>
      <c r="AD23" s="2">
        <f t="shared" si="13"/>
        <v>19666</v>
      </c>
      <c r="AE23" s="2">
        <f t="shared" si="13"/>
        <v>21215.599999999999</v>
      </c>
      <c r="AF23" s="2">
        <f t="shared" si="13"/>
        <v>20568.8</v>
      </c>
      <c r="AG23" s="2">
        <f t="shared" si="13"/>
        <v>22961.699999999997</v>
      </c>
      <c r="AH23" s="2">
        <f t="shared" si="13"/>
        <v>26372.699999999997</v>
      </c>
      <c r="AI23" s="2">
        <f t="shared" si="13"/>
        <v>29110.100000000002</v>
      </c>
      <c r="AJ23" s="2">
        <f t="shared" ref="AJ23" si="14">+SUM(AJ19:AJ22)</f>
        <v>29556.1</v>
      </c>
      <c r="AK23" s="2">
        <f t="shared" ref="AK23" si="15">+SUM(AK19:AK22)</f>
        <v>32198.473000000002</v>
      </c>
      <c r="AL23" s="2">
        <f t="shared" ref="AL23" si="16">+SUM(AL19:AL22)</f>
        <v>35086.245910000005</v>
      </c>
      <c r="AM23" s="2">
        <f t="shared" ref="AM23" si="17">+SUM(AM19:AM22)</f>
        <v>38242.971201700013</v>
      </c>
      <c r="AN23" s="2">
        <f t="shared" ref="AN23" si="18">+SUM(AN19:AN22)</f>
        <v>41694.525219079012</v>
      </c>
      <c r="AO23" s="2">
        <f t="shared" ref="AO23" si="19">+SUM(AO19:AO22)</f>
        <v>45469.342800540755</v>
      </c>
      <c r="AP23" s="2">
        <f t="shared" ref="AP23" si="20">+SUM(AP19:AP22)</f>
        <v>49598.676046506698</v>
      </c>
      <c r="AQ23" s="2">
        <f t="shared" ref="AQ23" si="21">+SUM(AQ19:AQ22)</f>
        <v>54116.87975779453</v>
      </c>
      <c r="AR23" s="2">
        <f t="shared" ref="AR23" si="22">+SUM(AR19:AR22)</f>
        <v>59061.726337953005</v>
      </c>
      <c r="AS23" s="2">
        <f t="shared" ref="AS23" si="23">+SUM(AS19:AS22)</f>
        <v>64474.75324931644</v>
      </c>
      <c r="AT23" s="2">
        <f t="shared" ref="AT23" si="24">+SUM(AT19:AT22)</f>
        <v>70401.646441015153</v>
      </c>
      <c r="AU23" s="2">
        <f t="shared" ref="AU23" si="25">+SUM(AU19:AU22)</f>
        <v>76892.663530998572</v>
      </c>
    </row>
    <row r="24" spans="2:151" s="8" customFormat="1" x14ac:dyDescent="0.2">
      <c r="B24" s="8" t="s">
        <v>11</v>
      </c>
      <c r="C24" s="8">
        <f t="shared" ref="C24:K24" si="26">+C18-C23</f>
        <v>1757.3000000000011</v>
      </c>
      <c r="D24" s="8">
        <f t="shared" si="26"/>
        <v>1772.3999999999996</v>
      </c>
      <c r="E24" s="8">
        <f t="shared" si="26"/>
        <v>1496</v>
      </c>
      <c r="F24" s="8">
        <f t="shared" si="26"/>
        <v>1271.8999999999996</v>
      </c>
      <c r="G24" s="8">
        <f t="shared" si="26"/>
        <v>1612.1999999999998</v>
      </c>
      <c r="H24" s="8">
        <f t="shared" si="26"/>
        <v>1497.3999999999987</v>
      </c>
      <c r="I24" s="8">
        <f t="shared" si="26"/>
        <v>1528.1999999999998</v>
      </c>
      <c r="J24" s="8">
        <f t="shared" si="26"/>
        <v>1535.5</v>
      </c>
      <c r="K24" s="8">
        <f t="shared" si="26"/>
        <v>1863.5</v>
      </c>
      <c r="L24" s="8">
        <f>+L18-L23</f>
        <v>1938.2000000000007</v>
      </c>
      <c r="M24" s="8">
        <f>+M18-M23</f>
        <v>1794.7999999999993</v>
      </c>
      <c r="N24" s="8">
        <f>+N18-N23</f>
        <v>1402.8000000000002</v>
      </c>
      <c r="O24" s="8">
        <f>+O18-O23</f>
        <v>1824</v>
      </c>
      <c r="P24" s="8">
        <f>+P18-P23</f>
        <v>1598.5</v>
      </c>
      <c r="Q24" s="8">
        <f>+Q18-Q23</f>
        <v>1482.7999999999993</v>
      </c>
      <c r="R24" s="8">
        <f>+R18-R23</f>
        <v>1077</v>
      </c>
      <c r="S24" s="22"/>
      <c r="T24" s="22"/>
      <c r="U24" s="8">
        <f t="shared" ref="U24:AI24" si="27">+U18-U23</f>
        <v>1307.2000000000007</v>
      </c>
      <c r="V24" s="8">
        <f t="shared" si="27"/>
        <v>1834.7000000000007</v>
      </c>
      <c r="W24" s="8">
        <f t="shared" si="27"/>
        <v>2047.9000000000015</v>
      </c>
      <c r="X24" s="8">
        <f t="shared" si="27"/>
        <v>2337</v>
      </c>
      <c r="Y24" s="8">
        <f t="shared" si="27"/>
        <v>2828.7000000000007</v>
      </c>
      <c r="Z24" s="8">
        <f t="shared" si="27"/>
        <v>3502.2000000000007</v>
      </c>
      <c r="AA24" s="8">
        <f t="shared" si="27"/>
        <v>4245</v>
      </c>
      <c r="AB24" s="8">
        <f t="shared" si="27"/>
        <v>4834.4999999999964</v>
      </c>
      <c r="AC24" s="8">
        <f t="shared" si="27"/>
        <v>5347.3999999999978</v>
      </c>
      <c r="AD24" s="8">
        <f t="shared" si="27"/>
        <v>5053.5</v>
      </c>
      <c r="AE24" s="8">
        <f t="shared" si="27"/>
        <v>5293.0000000000036</v>
      </c>
      <c r="AF24" s="8">
        <f t="shared" si="27"/>
        <v>2949.1999999999971</v>
      </c>
      <c r="AG24" s="8">
        <f t="shared" si="27"/>
        <v>6098.9000000000015</v>
      </c>
      <c r="AH24" s="8">
        <f t="shared" si="27"/>
        <v>5877.6000000000022</v>
      </c>
      <c r="AI24" s="8">
        <f t="shared" si="27"/>
        <v>6865.4999999999964</v>
      </c>
      <c r="AJ24" s="8">
        <f t="shared" ref="AJ24" si="28">+AJ18-AJ23</f>
        <v>6620.0999999999985</v>
      </c>
      <c r="AK24" s="8">
        <f t="shared" ref="AK24" si="29">+AK18-AK23</f>
        <v>6871.8230000000003</v>
      </c>
      <c r="AL24" s="8">
        <f t="shared" ref="AL24" si="30">+AL18-AL23</f>
        <v>7109.6737700000012</v>
      </c>
      <c r="AM24" s="8">
        <f t="shared" ref="AM24" si="31">+AM18-AM23</f>
        <v>7328.6220526999969</v>
      </c>
      <c r="AN24" s="8">
        <f t="shared" ref="AN24" si="32">+AN18-AN23</f>
        <v>7522.7954956730027</v>
      </c>
      <c r="AO24" s="8">
        <f t="shared" ref="AO24" si="33">+AO18-AO23</f>
        <v>7685.3635713914264</v>
      </c>
      <c r="AP24" s="8">
        <f t="shared" ref="AP24" si="34">+AP18-AP23</f>
        <v>7808.4068351800597</v>
      </c>
      <c r="AQ24" s="8">
        <f t="shared" ref="AQ24" si="35">+AQ18-AQ23</f>
        <v>7882.7697544271723</v>
      </c>
      <c r="AR24" s="8">
        <f t="shared" ref="AR24" si="36">+AR18-AR23</f>
        <v>7897.8951352464355</v>
      </c>
      <c r="AS24" s="8">
        <f t="shared" ref="AS24" si="37">+AS18-AS23</f>
        <v>7841.6379417389617</v>
      </c>
      <c r="AT24" s="8">
        <f t="shared" ref="AT24" si="38">+AT18-AT23</f>
        <v>7700.0560453246871</v>
      </c>
      <c r="AU24" s="8">
        <f t="shared" ref="AU24" si="39">+AU18-AU23</f>
        <v>7457.1751542484562</v>
      </c>
    </row>
    <row r="25" spans="2:151" x14ac:dyDescent="0.2">
      <c r="B25" s="2" t="s">
        <v>12</v>
      </c>
      <c r="C25" s="2">
        <v>36</v>
      </c>
      <c r="D25" s="2">
        <v>21.5</v>
      </c>
      <c r="E25" s="2">
        <v>-0.1</v>
      </c>
      <c r="F25" s="2">
        <v>46.3</v>
      </c>
      <c r="G25" s="2">
        <v>19.8</v>
      </c>
      <c r="H25" s="2">
        <v>31</v>
      </c>
      <c r="I25" s="2">
        <v>11.6</v>
      </c>
      <c r="J25" s="2">
        <v>18.399999999999999</v>
      </c>
      <c r="K25" s="2">
        <v>21.3</v>
      </c>
      <c r="L25" s="2">
        <v>30.1</v>
      </c>
      <c r="M25" s="2">
        <v>33.799999999999997</v>
      </c>
      <c r="N25" s="2">
        <v>34.1</v>
      </c>
      <c r="O25" s="2">
        <v>28.1</v>
      </c>
      <c r="P25" s="2">
        <v>26.8</v>
      </c>
      <c r="Q25" s="2">
        <v>27.8</v>
      </c>
      <c r="R25" s="2">
        <v>28.4</v>
      </c>
      <c r="U25" s="2">
        <v>37</v>
      </c>
      <c r="V25" s="2">
        <v>50.3</v>
      </c>
      <c r="W25" s="2">
        <v>115.9</v>
      </c>
      <c r="X25" s="2">
        <v>94.4</v>
      </c>
      <c r="Y25" s="2">
        <v>123.6</v>
      </c>
      <c r="Z25" s="2">
        <v>142.69999999999999</v>
      </c>
      <c r="AA25" s="2">
        <v>43</v>
      </c>
      <c r="AB25" s="2">
        <v>102.6</v>
      </c>
      <c r="AC25" s="2">
        <v>181.8</v>
      </c>
      <c r="AD25" s="2">
        <v>191.4</v>
      </c>
      <c r="AE25" s="2">
        <v>96.5</v>
      </c>
      <c r="AF25" s="2">
        <v>39.700000000000003</v>
      </c>
      <c r="AG25" s="2">
        <v>90.1</v>
      </c>
      <c r="AH25" s="2">
        <v>97</v>
      </c>
      <c r="AI25" s="2">
        <v>81.2</v>
      </c>
      <c r="AJ25" s="15">
        <f t="shared" ref="AJ25:AJ28" si="40">+SUM(M25:P25)</f>
        <v>122.8</v>
      </c>
      <c r="AK25" s="2">
        <v>0</v>
      </c>
      <c r="AL25" s="2" t="e">
        <f>+AK39*#REF!</f>
        <v>#REF!</v>
      </c>
      <c r="AM25" s="2" t="e">
        <f>+AL39*#REF!</f>
        <v>#REF!</v>
      </c>
      <c r="AN25" s="2" t="e">
        <f>+AM39*#REF!</f>
        <v>#REF!</v>
      </c>
      <c r="AO25" s="2" t="e">
        <f>+AN39*#REF!</f>
        <v>#REF!</v>
      </c>
      <c r="AP25" s="2" t="e">
        <f>+AO39*#REF!</f>
        <v>#REF!</v>
      </c>
      <c r="AQ25" s="2" t="e">
        <f>+AP39*#REF!</f>
        <v>#REF!</v>
      </c>
      <c r="AR25" s="2" t="e">
        <f>+AQ39*#REF!</f>
        <v>#REF!</v>
      </c>
      <c r="AS25" s="2" t="e">
        <f>+AR39*#REF!</f>
        <v>#REF!</v>
      </c>
      <c r="AT25" s="2" t="e">
        <f>+AS39*#REF!</f>
        <v>#REF!</v>
      </c>
      <c r="AU25" s="2" t="e">
        <f>+AT39*#REF!</f>
        <v>#REF!</v>
      </c>
    </row>
    <row r="26" spans="2:151" x14ac:dyDescent="0.2">
      <c r="B26" s="2" t="s">
        <v>13</v>
      </c>
      <c r="C26" s="2">
        <v>-113.4</v>
      </c>
      <c r="D26" s="2">
        <v>-120.6</v>
      </c>
      <c r="E26" s="2">
        <v>-115.3</v>
      </c>
      <c r="F26" s="2">
        <v>-119.1</v>
      </c>
      <c r="G26" s="2">
        <v>-123.1</v>
      </c>
      <c r="H26" s="2">
        <v>-125.3</v>
      </c>
      <c r="I26" s="2">
        <v>-129.69999999999999</v>
      </c>
      <c r="J26" s="2">
        <v>-136.30000000000001</v>
      </c>
      <c r="K26" s="2">
        <v>-140.9</v>
      </c>
      <c r="L26" s="2">
        <v>-143.19999999999999</v>
      </c>
      <c r="M26" s="2">
        <v>-140.1</v>
      </c>
      <c r="N26" s="2">
        <v>-140.6</v>
      </c>
      <c r="O26" s="2">
        <v>-141.30000000000001</v>
      </c>
      <c r="P26" s="2">
        <v>-140</v>
      </c>
      <c r="Q26" s="2">
        <v>-127.2</v>
      </c>
      <c r="R26" s="2">
        <v>-127.3</v>
      </c>
      <c r="U26" s="2">
        <v>-39.1</v>
      </c>
      <c r="V26" s="2">
        <v>-32.700000000000003</v>
      </c>
      <c r="W26" s="2">
        <v>-33.299999999999997</v>
      </c>
      <c r="X26" s="2">
        <v>-32.700000000000003</v>
      </c>
      <c r="Y26" s="2">
        <v>-28.1</v>
      </c>
      <c r="Z26" s="2">
        <v>-64.099999999999994</v>
      </c>
      <c r="AA26" s="2">
        <v>-70.5</v>
      </c>
      <c r="AB26" s="2">
        <v>-81.3</v>
      </c>
      <c r="AC26" s="2">
        <v>-92.5</v>
      </c>
      <c r="AD26" s="2">
        <v>-170.3</v>
      </c>
      <c r="AE26" s="2">
        <v>-331</v>
      </c>
      <c r="AF26" s="2">
        <v>-437</v>
      </c>
      <c r="AG26" s="2">
        <v>-469.8</v>
      </c>
      <c r="AH26" s="2">
        <v>-482.9</v>
      </c>
      <c r="AI26" s="2">
        <v>-550.1</v>
      </c>
      <c r="AJ26" s="15">
        <f t="shared" si="40"/>
        <v>-562</v>
      </c>
      <c r="AK26" s="2">
        <f>+AJ39*0.05</f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</row>
    <row r="27" spans="2:151" x14ac:dyDescent="0.2">
      <c r="B27" s="2" t="s">
        <v>14</v>
      </c>
      <c r="C27" s="2">
        <f t="shared" ref="C27:N27" si="41">+SUM(C25:C26)+C24</f>
        <v>1679.900000000001</v>
      </c>
      <c r="D27" s="2">
        <f t="shared" si="41"/>
        <v>1673.2999999999997</v>
      </c>
      <c r="E27" s="2">
        <f t="shared" si="41"/>
        <v>1380.6</v>
      </c>
      <c r="F27" s="2">
        <f t="shared" si="41"/>
        <v>1199.0999999999997</v>
      </c>
      <c r="G27" s="2">
        <f t="shared" si="41"/>
        <v>1508.8999999999999</v>
      </c>
      <c r="H27" s="2">
        <f t="shared" si="41"/>
        <v>1403.0999999999988</v>
      </c>
      <c r="I27" s="2">
        <f t="shared" si="41"/>
        <v>1410.1</v>
      </c>
      <c r="J27" s="2">
        <f t="shared" si="41"/>
        <v>1417.6</v>
      </c>
      <c r="K27" s="2">
        <f t="shared" si="41"/>
        <v>1743.9</v>
      </c>
      <c r="L27" s="2">
        <f t="shared" si="41"/>
        <v>1825.1000000000008</v>
      </c>
      <c r="M27" s="2">
        <f t="shared" si="41"/>
        <v>1688.4999999999993</v>
      </c>
      <c r="N27" s="2">
        <f t="shared" si="41"/>
        <v>1296.3000000000002</v>
      </c>
      <c r="O27" s="2">
        <f t="shared" ref="O27:P27" si="42">+SUM(O25:O26)+O24</f>
        <v>1710.8</v>
      </c>
      <c r="P27" s="2">
        <f t="shared" si="42"/>
        <v>1485.3</v>
      </c>
      <c r="Q27" s="2">
        <f t="shared" ref="Q27:R27" si="43">+SUM(Q25:Q26)+Q24</f>
        <v>1383.3999999999992</v>
      </c>
      <c r="R27" s="2">
        <f t="shared" si="43"/>
        <v>978.1</v>
      </c>
      <c r="U27" s="2">
        <f t="shared" ref="U27" si="44">+SUM(U25:U26)+U24</f>
        <v>1305.1000000000008</v>
      </c>
      <c r="V27" s="2">
        <f t="shared" ref="V27:W27" si="45">+SUM(V25:V26)+V24</f>
        <v>1852.3000000000006</v>
      </c>
      <c r="W27" s="2">
        <f t="shared" si="45"/>
        <v>2130.5000000000014</v>
      </c>
      <c r="X27" s="2">
        <f t="shared" ref="X27:Y27" si="46">+SUM(X25:X26)+X24</f>
        <v>2398.6999999999998</v>
      </c>
      <c r="Y27" s="2">
        <f t="shared" si="46"/>
        <v>2924.2000000000007</v>
      </c>
      <c r="Z27" s="2">
        <f t="shared" ref="Z27:AA27" si="47">+SUM(Z25:Z26)+Z24</f>
        <v>3580.8000000000006</v>
      </c>
      <c r="AA27" s="2">
        <f t="shared" si="47"/>
        <v>4217.5</v>
      </c>
      <c r="AB27" s="2">
        <f t="shared" ref="AB27:AC27" si="48">+SUM(AB25:AB26)+AB24</f>
        <v>4855.7999999999965</v>
      </c>
      <c r="AC27" s="2">
        <f t="shared" si="48"/>
        <v>5436.699999999998</v>
      </c>
      <c r="AD27" s="2">
        <f t="shared" ref="AD27:AE27" si="49">+SUM(AD25:AD26)+AD24</f>
        <v>5074.6000000000004</v>
      </c>
      <c r="AE27" s="2">
        <f t="shared" si="49"/>
        <v>5058.5000000000036</v>
      </c>
      <c r="AF27" s="2">
        <f t="shared" ref="AF27:AG27" si="50">+SUM(AF25:AF26)+AF24</f>
        <v>2551.8999999999969</v>
      </c>
      <c r="AG27" s="2">
        <f t="shared" si="50"/>
        <v>5719.2000000000016</v>
      </c>
      <c r="AH27" s="2">
        <f t="shared" ref="AH27:AU27" si="51">+SUM(AH25:AH26)+AH24</f>
        <v>5491.7000000000025</v>
      </c>
      <c r="AI27" s="2">
        <f t="shared" si="51"/>
        <v>6396.5999999999967</v>
      </c>
      <c r="AJ27" s="2">
        <f t="shared" si="51"/>
        <v>6180.8999999999987</v>
      </c>
      <c r="AK27" s="2">
        <f t="shared" si="51"/>
        <v>6871.8230000000003</v>
      </c>
      <c r="AL27" s="2" t="e">
        <f t="shared" si="51"/>
        <v>#REF!</v>
      </c>
      <c r="AM27" s="2" t="e">
        <f t="shared" si="51"/>
        <v>#REF!</v>
      </c>
      <c r="AN27" s="2" t="e">
        <f t="shared" si="51"/>
        <v>#REF!</v>
      </c>
      <c r="AO27" s="2" t="e">
        <f t="shared" si="51"/>
        <v>#REF!</v>
      </c>
      <c r="AP27" s="2" t="e">
        <f t="shared" si="51"/>
        <v>#REF!</v>
      </c>
      <c r="AQ27" s="2" t="e">
        <f t="shared" si="51"/>
        <v>#REF!</v>
      </c>
      <c r="AR27" s="2" t="e">
        <f t="shared" si="51"/>
        <v>#REF!</v>
      </c>
      <c r="AS27" s="2" t="e">
        <f t="shared" si="51"/>
        <v>#REF!</v>
      </c>
      <c r="AT27" s="2" t="e">
        <f t="shared" si="51"/>
        <v>#REF!</v>
      </c>
      <c r="AU27" s="2" t="e">
        <f t="shared" si="51"/>
        <v>#REF!</v>
      </c>
    </row>
    <row r="28" spans="2:151" x14ac:dyDescent="0.2">
      <c r="B28" s="2" t="s">
        <v>15</v>
      </c>
      <c r="C28" s="2">
        <v>257.10000000000002</v>
      </c>
      <c r="D28" s="2">
        <v>483</v>
      </c>
      <c r="E28" s="2">
        <v>246.3</v>
      </c>
      <c r="F28" s="2">
        <v>201.1</v>
      </c>
      <c r="G28" s="2">
        <v>278.5</v>
      </c>
      <c r="H28" s="2">
        <v>222.7</v>
      </c>
      <c r="I28" s="2">
        <v>279.8</v>
      </c>
      <c r="J28" s="2">
        <v>301.3</v>
      </c>
      <c r="K28" s="2">
        <v>322.39999999999998</v>
      </c>
      <c r="L28" s="2">
        <v>373.8</v>
      </c>
      <c r="M28" s="2">
        <v>354.7</v>
      </c>
      <c r="N28" s="2">
        <v>219.9</v>
      </c>
      <c r="O28" s="2">
        <v>348.6</v>
      </c>
      <c r="P28" s="2">
        <v>284.10000000000002</v>
      </c>
      <c r="Q28" s="2">
        <v>241.4</v>
      </c>
      <c r="R28" s="2">
        <v>118</v>
      </c>
      <c r="U28" s="2">
        <v>168.4</v>
      </c>
      <c r="V28" s="2">
        <v>488.7</v>
      </c>
      <c r="W28" s="2">
        <v>563.1</v>
      </c>
      <c r="X28" s="2">
        <v>674.4</v>
      </c>
      <c r="Y28" s="2">
        <v>-238.7</v>
      </c>
      <c r="Z28" s="2">
        <v>1092</v>
      </c>
      <c r="AA28" s="2">
        <v>1143.7</v>
      </c>
      <c r="AB28" s="2">
        <v>1379.7</v>
      </c>
      <c r="AC28" s="2">
        <v>1432.6</v>
      </c>
      <c r="AD28" s="2">
        <v>1262</v>
      </c>
      <c r="AE28" s="2">
        <v>871.6</v>
      </c>
      <c r="AF28" s="2">
        <v>239.7</v>
      </c>
      <c r="AG28" s="2">
        <v>1156.5999999999999</v>
      </c>
      <c r="AH28" s="2">
        <v>948.5</v>
      </c>
      <c r="AI28" s="2">
        <v>1277.2</v>
      </c>
      <c r="AJ28" s="15">
        <f t="shared" si="40"/>
        <v>1207.3000000000002</v>
      </c>
      <c r="AK28" s="2">
        <f t="shared" ref="AK28:AU28" si="52">+AK27*$AI$35</f>
        <v>1372.0870987086898</v>
      </c>
      <c r="AL28" s="2" t="e">
        <f t="shared" si="52"/>
        <v>#REF!</v>
      </c>
      <c r="AM28" s="2" t="e">
        <f t="shared" si="52"/>
        <v>#REF!</v>
      </c>
      <c r="AN28" s="2" t="e">
        <f t="shared" si="52"/>
        <v>#REF!</v>
      </c>
      <c r="AO28" s="2" t="e">
        <f t="shared" si="52"/>
        <v>#REF!</v>
      </c>
      <c r="AP28" s="2" t="e">
        <f t="shared" si="52"/>
        <v>#REF!</v>
      </c>
      <c r="AQ28" s="2" t="e">
        <f t="shared" si="52"/>
        <v>#REF!</v>
      </c>
      <c r="AR28" s="2" t="e">
        <f t="shared" si="52"/>
        <v>#REF!</v>
      </c>
      <c r="AS28" s="2" t="e">
        <f t="shared" si="52"/>
        <v>#REF!</v>
      </c>
      <c r="AT28" s="2" t="e">
        <f t="shared" si="52"/>
        <v>#REF!</v>
      </c>
      <c r="AU28" s="2" t="e">
        <f t="shared" si="52"/>
        <v>#REF!</v>
      </c>
    </row>
    <row r="29" spans="2:151" s="8" customFormat="1" x14ac:dyDescent="0.2">
      <c r="B29" s="8" t="s">
        <v>16</v>
      </c>
      <c r="C29" s="8">
        <f t="shared" ref="C29:N29" si="53">+C27-C28</f>
        <v>1422.8000000000011</v>
      </c>
      <c r="D29" s="8">
        <f t="shared" si="53"/>
        <v>1190.2999999999997</v>
      </c>
      <c r="E29" s="8">
        <f t="shared" si="53"/>
        <v>1134.3</v>
      </c>
      <c r="F29" s="8">
        <f t="shared" si="53"/>
        <v>997.99999999999966</v>
      </c>
      <c r="G29" s="8">
        <f t="shared" si="53"/>
        <v>1230.3999999999999</v>
      </c>
      <c r="H29" s="8">
        <f t="shared" si="53"/>
        <v>1180.3999999999987</v>
      </c>
      <c r="I29" s="8">
        <f t="shared" si="53"/>
        <v>1130.3</v>
      </c>
      <c r="J29" s="8">
        <f t="shared" si="53"/>
        <v>1116.3</v>
      </c>
      <c r="K29" s="8">
        <f t="shared" si="53"/>
        <v>1421.5</v>
      </c>
      <c r="L29" s="8">
        <f t="shared" si="53"/>
        <v>1451.3000000000009</v>
      </c>
      <c r="M29" s="8">
        <f t="shared" si="53"/>
        <v>1333.7999999999993</v>
      </c>
      <c r="N29" s="8">
        <f t="shared" si="53"/>
        <v>1076.4000000000001</v>
      </c>
      <c r="O29" s="8">
        <f t="shared" ref="O29:P29" si="54">+O27-O28</f>
        <v>1362.1999999999998</v>
      </c>
      <c r="P29" s="8">
        <f t="shared" si="54"/>
        <v>1201.1999999999998</v>
      </c>
      <c r="Q29" s="8">
        <f t="shared" ref="Q29:R29" si="55">+Q27-Q28</f>
        <v>1141.9999999999991</v>
      </c>
      <c r="R29" s="8">
        <f t="shared" si="55"/>
        <v>860.1</v>
      </c>
      <c r="S29" s="22"/>
      <c r="T29" s="22"/>
      <c r="U29" s="8">
        <f t="shared" ref="U29" si="56">+U27-U28</f>
        <v>1136.7000000000007</v>
      </c>
      <c r="V29" s="8">
        <f t="shared" ref="V29:W29" si="57">+V27-V28</f>
        <v>1363.6000000000006</v>
      </c>
      <c r="W29" s="8">
        <f t="shared" si="57"/>
        <v>1567.4000000000015</v>
      </c>
      <c r="X29" s="8">
        <f t="shared" ref="X29:Y29" si="58">+X27-X28</f>
        <v>1724.2999999999997</v>
      </c>
      <c r="Y29" s="8">
        <f t="shared" si="58"/>
        <v>3162.9000000000005</v>
      </c>
      <c r="Z29" s="8">
        <f t="shared" ref="Z29:AA29" si="59">+Z27-Z28</f>
        <v>2488.8000000000006</v>
      </c>
      <c r="AA29" s="8">
        <f t="shared" si="59"/>
        <v>3073.8</v>
      </c>
      <c r="AB29" s="8">
        <f t="shared" ref="AB29:AC29" si="60">+AB27-AB28</f>
        <v>3476.0999999999967</v>
      </c>
      <c r="AC29" s="8">
        <f t="shared" si="60"/>
        <v>4004.0999999999981</v>
      </c>
      <c r="AD29" s="8">
        <f t="shared" ref="AD29:AE29" si="61">+AD27-AD28</f>
        <v>3812.6000000000004</v>
      </c>
      <c r="AE29" s="8">
        <f t="shared" si="61"/>
        <v>4186.9000000000033</v>
      </c>
      <c r="AF29" s="8">
        <f t="shared" ref="AF29:AG29" si="62">+AF27-AF28</f>
        <v>2312.1999999999971</v>
      </c>
      <c r="AG29" s="8">
        <f t="shared" si="62"/>
        <v>4562.6000000000022</v>
      </c>
      <c r="AH29" s="8">
        <f t="shared" ref="AH29:AU29" si="63">+AH27-AH28</f>
        <v>4543.2000000000025</v>
      </c>
      <c r="AI29" s="8">
        <f t="shared" si="63"/>
        <v>5119.3999999999969</v>
      </c>
      <c r="AJ29" s="8">
        <f t="shared" si="63"/>
        <v>4973.5999999999985</v>
      </c>
      <c r="AK29" s="8">
        <f t="shared" si="63"/>
        <v>5499.7359012913103</v>
      </c>
      <c r="AL29" s="8" t="e">
        <f t="shared" si="63"/>
        <v>#REF!</v>
      </c>
      <c r="AM29" s="8" t="e">
        <f t="shared" si="63"/>
        <v>#REF!</v>
      </c>
      <c r="AN29" s="8" t="e">
        <f t="shared" si="63"/>
        <v>#REF!</v>
      </c>
      <c r="AO29" s="8" t="e">
        <f t="shared" si="63"/>
        <v>#REF!</v>
      </c>
      <c r="AP29" s="8" t="e">
        <f t="shared" si="63"/>
        <v>#REF!</v>
      </c>
      <c r="AQ29" s="8" t="e">
        <f t="shared" si="63"/>
        <v>#REF!</v>
      </c>
      <c r="AR29" s="8" t="e">
        <f t="shared" si="63"/>
        <v>#REF!</v>
      </c>
      <c r="AS29" s="8" t="e">
        <f t="shared" si="63"/>
        <v>#REF!</v>
      </c>
      <c r="AT29" s="8" t="e">
        <f t="shared" si="63"/>
        <v>#REF!</v>
      </c>
      <c r="AU29" s="8" t="e">
        <f t="shared" si="63"/>
        <v>#REF!</v>
      </c>
      <c r="AV29" s="8" t="e">
        <f t="shared" ref="AV29:AX29" si="64">+AU29*(1+$BA$33)</f>
        <v>#REF!</v>
      </c>
      <c r="AW29" s="8" t="e">
        <f t="shared" si="64"/>
        <v>#REF!</v>
      </c>
      <c r="AX29" s="8" t="e">
        <f t="shared" si="64"/>
        <v>#REF!</v>
      </c>
      <c r="AY29" s="8" t="e">
        <f>+AX29*(1+$BA$33)</f>
        <v>#REF!</v>
      </c>
      <c r="AZ29" s="8" t="e">
        <f t="shared" ref="AZ29:DK29" si="65">+AY29*(1+$BA$33)</f>
        <v>#REF!</v>
      </c>
      <c r="BA29" s="8" t="e">
        <f t="shared" si="65"/>
        <v>#REF!</v>
      </c>
      <c r="BB29" s="8" t="e">
        <f t="shared" si="65"/>
        <v>#REF!</v>
      </c>
      <c r="BC29" s="8" t="e">
        <f t="shared" si="65"/>
        <v>#REF!</v>
      </c>
      <c r="BD29" s="8" t="e">
        <f t="shared" si="65"/>
        <v>#REF!</v>
      </c>
      <c r="BE29" s="8" t="e">
        <f t="shared" si="65"/>
        <v>#REF!</v>
      </c>
      <c r="BF29" s="8" t="e">
        <f t="shared" si="65"/>
        <v>#REF!</v>
      </c>
      <c r="BG29" s="8" t="e">
        <f t="shared" si="65"/>
        <v>#REF!</v>
      </c>
      <c r="BH29" s="8" t="e">
        <f t="shared" si="65"/>
        <v>#REF!</v>
      </c>
      <c r="BI29" s="8" t="e">
        <f t="shared" si="65"/>
        <v>#REF!</v>
      </c>
      <c r="BJ29" s="8" t="e">
        <f t="shared" si="65"/>
        <v>#REF!</v>
      </c>
      <c r="BK29" s="8" t="e">
        <f t="shared" si="65"/>
        <v>#REF!</v>
      </c>
      <c r="BL29" s="8" t="e">
        <f t="shared" si="65"/>
        <v>#REF!</v>
      </c>
      <c r="BM29" s="8" t="e">
        <f t="shared" si="65"/>
        <v>#REF!</v>
      </c>
      <c r="BN29" s="8" t="e">
        <f t="shared" si="65"/>
        <v>#REF!</v>
      </c>
      <c r="BO29" s="8" t="e">
        <f t="shared" si="65"/>
        <v>#REF!</v>
      </c>
      <c r="BP29" s="8" t="e">
        <f t="shared" si="65"/>
        <v>#REF!</v>
      </c>
      <c r="BQ29" s="8" t="e">
        <f t="shared" si="65"/>
        <v>#REF!</v>
      </c>
      <c r="BR29" s="8" t="e">
        <f t="shared" si="65"/>
        <v>#REF!</v>
      </c>
      <c r="BS29" s="8" t="e">
        <f t="shared" si="65"/>
        <v>#REF!</v>
      </c>
      <c r="BT29" s="8" t="e">
        <f t="shared" si="65"/>
        <v>#REF!</v>
      </c>
      <c r="BU29" s="8" t="e">
        <f t="shared" si="65"/>
        <v>#REF!</v>
      </c>
      <c r="BV29" s="8" t="e">
        <f t="shared" si="65"/>
        <v>#REF!</v>
      </c>
      <c r="BW29" s="8" t="e">
        <f t="shared" si="65"/>
        <v>#REF!</v>
      </c>
      <c r="BX29" s="8" t="e">
        <f t="shared" si="65"/>
        <v>#REF!</v>
      </c>
      <c r="BY29" s="8" t="e">
        <f t="shared" si="65"/>
        <v>#REF!</v>
      </c>
      <c r="BZ29" s="8" t="e">
        <f t="shared" si="65"/>
        <v>#REF!</v>
      </c>
      <c r="CA29" s="8" t="e">
        <f t="shared" si="65"/>
        <v>#REF!</v>
      </c>
      <c r="CB29" s="8" t="e">
        <f t="shared" si="65"/>
        <v>#REF!</v>
      </c>
      <c r="CC29" s="8" t="e">
        <f t="shared" si="65"/>
        <v>#REF!</v>
      </c>
      <c r="CD29" s="8" t="e">
        <f t="shared" si="65"/>
        <v>#REF!</v>
      </c>
      <c r="CE29" s="8" t="e">
        <f t="shared" si="65"/>
        <v>#REF!</v>
      </c>
      <c r="CF29" s="8" t="e">
        <f t="shared" si="65"/>
        <v>#REF!</v>
      </c>
      <c r="CG29" s="8" t="e">
        <f t="shared" si="65"/>
        <v>#REF!</v>
      </c>
      <c r="CH29" s="8" t="e">
        <f t="shared" si="65"/>
        <v>#REF!</v>
      </c>
      <c r="CI29" s="8" t="e">
        <f t="shared" si="65"/>
        <v>#REF!</v>
      </c>
      <c r="CJ29" s="8" t="e">
        <f t="shared" si="65"/>
        <v>#REF!</v>
      </c>
      <c r="CK29" s="8" t="e">
        <f t="shared" si="65"/>
        <v>#REF!</v>
      </c>
      <c r="CL29" s="8" t="e">
        <f t="shared" si="65"/>
        <v>#REF!</v>
      </c>
      <c r="CM29" s="8" t="e">
        <f t="shared" si="65"/>
        <v>#REF!</v>
      </c>
      <c r="CN29" s="8" t="e">
        <f t="shared" si="65"/>
        <v>#REF!</v>
      </c>
      <c r="CO29" s="8" t="e">
        <f t="shared" si="65"/>
        <v>#REF!</v>
      </c>
      <c r="CP29" s="8" t="e">
        <f t="shared" si="65"/>
        <v>#REF!</v>
      </c>
      <c r="CQ29" s="8" t="e">
        <f t="shared" si="65"/>
        <v>#REF!</v>
      </c>
      <c r="CR29" s="8" t="e">
        <f t="shared" si="65"/>
        <v>#REF!</v>
      </c>
      <c r="CS29" s="8" t="e">
        <f t="shared" si="65"/>
        <v>#REF!</v>
      </c>
      <c r="CT29" s="8" t="e">
        <f t="shared" si="65"/>
        <v>#REF!</v>
      </c>
      <c r="CU29" s="8" t="e">
        <f t="shared" si="65"/>
        <v>#REF!</v>
      </c>
      <c r="CV29" s="8" t="e">
        <f t="shared" si="65"/>
        <v>#REF!</v>
      </c>
      <c r="CW29" s="8" t="e">
        <f t="shared" si="65"/>
        <v>#REF!</v>
      </c>
      <c r="CX29" s="8" t="e">
        <f t="shared" si="65"/>
        <v>#REF!</v>
      </c>
      <c r="CY29" s="8" t="e">
        <f t="shared" si="65"/>
        <v>#REF!</v>
      </c>
      <c r="CZ29" s="8" t="e">
        <f t="shared" si="65"/>
        <v>#REF!</v>
      </c>
      <c r="DA29" s="8" t="e">
        <f t="shared" si="65"/>
        <v>#REF!</v>
      </c>
      <c r="DB29" s="8" t="e">
        <f t="shared" si="65"/>
        <v>#REF!</v>
      </c>
      <c r="DC29" s="8" t="e">
        <f t="shared" si="65"/>
        <v>#REF!</v>
      </c>
      <c r="DD29" s="8" t="e">
        <f t="shared" si="65"/>
        <v>#REF!</v>
      </c>
      <c r="DE29" s="8" t="e">
        <f t="shared" si="65"/>
        <v>#REF!</v>
      </c>
      <c r="DF29" s="8" t="e">
        <f t="shared" si="65"/>
        <v>#REF!</v>
      </c>
      <c r="DG29" s="8" t="e">
        <f t="shared" si="65"/>
        <v>#REF!</v>
      </c>
      <c r="DH29" s="8" t="e">
        <f t="shared" si="65"/>
        <v>#REF!</v>
      </c>
      <c r="DI29" s="8" t="e">
        <f t="shared" si="65"/>
        <v>#REF!</v>
      </c>
      <c r="DJ29" s="8" t="e">
        <f t="shared" si="65"/>
        <v>#REF!</v>
      </c>
      <c r="DK29" s="8" t="e">
        <f t="shared" si="65"/>
        <v>#REF!</v>
      </c>
      <c r="DL29" s="8" t="e">
        <f t="shared" ref="DL29:EU29" si="66">+DK29*(1+$BA$33)</f>
        <v>#REF!</v>
      </c>
      <c r="DM29" s="8" t="e">
        <f t="shared" si="66"/>
        <v>#REF!</v>
      </c>
      <c r="DN29" s="8" t="e">
        <f t="shared" si="66"/>
        <v>#REF!</v>
      </c>
      <c r="DO29" s="8" t="e">
        <f t="shared" si="66"/>
        <v>#REF!</v>
      </c>
      <c r="DP29" s="8" t="e">
        <f t="shared" si="66"/>
        <v>#REF!</v>
      </c>
      <c r="DQ29" s="8" t="e">
        <f t="shared" si="66"/>
        <v>#REF!</v>
      </c>
      <c r="DR29" s="8" t="e">
        <f t="shared" si="66"/>
        <v>#REF!</v>
      </c>
      <c r="DS29" s="8" t="e">
        <f t="shared" si="66"/>
        <v>#REF!</v>
      </c>
      <c r="DT29" s="8" t="e">
        <f t="shared" si="66"/>
        <v>#REF!</v>
      </c>
      <c r="DU29" s="8" t="e">
        <f t="shared" si="66"/>
        <v>#REF!</v>
      </c>
      <c r="DV29" s="8" t="e">
        <f t="shared" si="66"/>
        <v>#REF!</v>
      </c>
      <c r="DW29" s="8" t="e">
        <f t="shared" si="66"/>
        <v>#REF!</v>
      </c>
      <c r="DX29" s="8" t="e">
        <f t="shared" si="66"/>
        <v>#REF!</v>
      </c>
      <c r="DY29" s="8" t="e">
        <f t="shared" si="66"/>
        <v>#REF!</v>
      </c>
      <c r="DZ29" s="8" t="e">
        <f t="shared" si="66"/>
        <v>#REF!</v>
      </c>
      <c r="EA29" s="8" t="e">
        <f t="shared" si="66"/>
        <v>#REF!</v>
      </c>
      <c r="EB29" s="8" t="e">
        <f t="shared" si="66"/>
        <v>#REF!</v>
      </c>
      <c r="EC29" s="8" t="e">
        <f t="shared" si="66"/>
        <v>#REF!</v>
      </c>
      <c r="ED29" s="8" t="e">
        <f t="shared" si="66"/>
        <v>#REF!</v>
      </c>
      <c r="EE29" s="8" t="e">
        <f t="shared" si="66"/>
        <v>#REF!</v>
      </c>
      <c r="EF29" s="8" t="e">
        <f t="shared" si="66"/>
        <v>#REF!</v>
      </c>
      <c r="EG29" s="8" t="e">
        <f t="shared" si="66"/>
        <v>#REF!</v>
      </c>
      <c r="EH29" s="8" t="e">
        <f t="shared" si="66"/>
        <v>#REF!</v>
      </c>
      <c r="EI29" s="8" t="e">
        <f t="shared" si="66"/>
        <v>#REF!</v>
      </c>
      <c r="EJ29" s="8" t="e">
        <f t="shared" si="66"/>
        <v>#REF!</v>
      </c>
      <c r="EK29" s="8" t="e">
        <f t="shared" si="66"/>
        <v>#REF!</v>
      </c>
      <c r="EL29" s="8" t="e">
        <f t="shared" si="66"/>
        <v>#REF!</v>
      </c>
      <c r="EM29" s="8" t="e">
        <f t="shared" si="66"/>
        <v>#REF!</v>
      </c>
      <c r="EN29" s="8" t="e">
        <f t="shared" si="66"/>
        <v>#REF!</v>
      </c>
      <c r="EO29" s="8" t="e">
        <f t="shared" si="66"/>
        <v>#REF!</v>
      </c>
      <c r="EP29" s="8" t="e">
        <f t="shared" si="66"/>
        <v>#REF!</v>
      </c>
      <c r="EQ29" s="8" t="e">
        <f t="shared" si="66"/>
        <v>#REF!</v>
      </c>
      <c r="ER29" s="8" t="e">
        <f t="shared" si="66"/>
        <v>#REF!</v>
      </c>
      <c r="ES29" s="8" t="e">
        <f t="shared" si="66"/>
        <v>#REF!</v>
      </c>
      <c r="ET29" s="8" t="e">
        <f t="shared" si="66"/>
        <v>#REF!</v>
      </c>
      <c r="EU29" s="8" t="e">
        <f t="shared" si="66"/>
        <v>#REF!</v>
      </c>
    </row>
    <row r="30" spans="2:151" x14ac:dyDescent="0.2">
      <c r="B30" s="2" t="s">
        <v>17</v>
      </c>
      <c r="C30" s="3">
        <f t="shared" ref="C30:N30" si="67">+C29/C31</f>
        <v>1.1994604619794309</v>
      </c>
      <c r="D30" s="3">
        <f t="shared" si="67"/>
        <v>1.0020203720851921</v>
      </c>
      <c r="E30" s="3">
        <f t="shared" si="67"/>
        <v>0.9640489546149924</v>
      </c>
      <c r="F30" s="3">
        <f t="shared" si="67"/>
        <v>0.86707211120764527</v>
      </c>
      <c r="G30" s="3">
        <f t="shared" si="67"/>
        <v>1.0689834926151172</v>
      </c>
      <c r="H30" s="3">
        <f t="shared" si="67"/>
        <v>1.0242082429501074</v>
      </c>
      <c r="I30" s="3">
        <f t="shared" si="67"/>
        <v>0.98039725908578357</v>
      </c>
      <c r="J30" s="3">
        <f t="shared" si="67"/>
        <v>0.96842196581938056</v>
      </c>
      <c r="K30" s="3">
        <f t="shared" si="67"/>
        <v>1.2355497609734898</v>
      </c>
      <c r="L30" s="3">
        <f t="shared" si="67"/>
        <v>1.2626587784931276</v>
      </c>
      <c r="M30" s="3">
        <f t="shared" si="67"/>
        <v>1.1693845344555491</v>
      </c>
      <c r="N30" s="3">
        <f t="shared" si="67"/>
        <v>0.94803593447243262</v>
      </c>
      <c r="O30" s="3">
        <f t="shared" ref="O30:P30" si="68">+O29/O31</f>
        <v>1.1993308681105828</v>
      </c>
      <c r="P30" s="3">
        <f t="shared" si="68"/>
        <v>1.0561857029807438</v>
      </c>
      <c r="Q30" s="3">
        <f t="shared" ref="Q30:R30" si="69">+Q29/Q31</f>
        <v>1.0031623330990855</v>
      </c>
      <c r="R30" s="3">
        <f t="shared" si="69"/>
        <v>0.7544736842105263</v>
      </c>
      <c r="S30" s="23"/>
      <c r="T30" s="23"/>
      <c r="U30" s="3">
        <f t="shared" ref="U30" si="70">+U29/U31</f>
        <v>1.5239308218259831</v>
      </c>
      <c r="V30" s="3">
        <f t="shared" ref="V30:W30" si="71">+V29/V31</f>
        <v>1.7843496466893489</v>
      </c>
      <c r="W30" s="3">
        <f t="shared" si="71"/>
        <v>2.0363778095361846</v>
      </c>
      <c r="X30" s="3">
        <f t="shared" ref="X30:Y30" si="72">+X29/X31</f>
        <v>2.2306597671410087</v>
      </c>
      <c r="Y30" s="3">
        <f t="shared" si="72"/>
        <v>2.0747130206625126</v>
      </c>
      <c r="Z30" s="3">
        <f t="shared" ref="Z30:AA30" si="73">+Z29/Z31</f>
        <v>1.6306099718272953</v>
      </c>
      <c r="AA30" s="3">
        <f t="shared" si="73"/>
        <v>2.031055900621118</v>
      </c>
      <c r="AB30" s="3">
        <f t="shared" ref="AB30:AC30" si="74">+AB29/AB31</f>
        <v>2.3381314320306696</v>
      </c>
      <c r="AC30" s="3">
        <f t="shared" si="74"/>
        <v>2.7397194663017435</v>
      </c>
      <c r="AD30" s="3">
        <f t="shared" ref="AD30:AE30" si="75">+AD29/AD31</f>
        <v>2.7338304890291125</v>
      </c>
      <c r="AE30" s="3">
        <f t="shared" si="75"/>
        <v>3.3951508271164474</v>
      </c>
      <c r="AF30" s="3">
        <f t="shared" ref="AF30:AG30" si="76">+AF29/AF31</f>
        <v>1.9565070231849697</v>
      </c>
      <c r="AG30" s="3">
        <f t="shared" si="76"/>
        <v>3.848671446646986</v>
      </c>
      <c r="AH30" s="3">
        <f t="shared" ref="AH30:AU30" si="77">+AH29/AH31</f>
        <v>3.921622788088047</v>
      </c>
      <c r="AI30" s="3">
        <f t="shared" si="77"/>
        <v>4.4466255537218773</v>
      </c>
      <c r="AJ30" s="3">
        <f t="shared" si="77"/>
        <v>4.3732606449627385</v>
      </c>
      <c r="AK30" s="3">
        <f t="shared" si="77"/>
        <v>4.9854527938040629</v>
      </c>
      <c r="AL30" s="3" t="e">
        <f t="shared" si="77"/>
        <v>#REF!</v>
      </c>
      <c r="AM30" s="3" t="e">
        <f t="shared" si="77"/>
        <v>#REF!</v>
      </c>
      <c r="AN30" s="3" t="e">
        <f t="shared" si="77"/>
        <v>#REF!</v>
      </c>
      <c r="AO30" s="3" t="e">
        <f t="shared" si="77"/>
        <v>#REF!</v>
      </c>
      <c r="AP30" s="3" t="e">
        <f t="shared" si="77"/>
        <v>#REF!</v>
      </c>
      <c r="AQ30" s="3" t="e">
        <f t="shared" si="77"/>
        <v>#REF!</v>
      </c>
      <c r="AR30" s="3" t="e">
        <f t="shared" si="77"/>
        <v>#REF!</v>
      </c>
      <c r="AS30" s="3" t="e">
        <f t="shared" si="77"/>
        <v>#REF!</v>
      </c>
      <c r="AT30" s="3" t="e">
        <f t="shared" si="77"/>
        <v>#REF!</v>
      </c>
      <c r="AU30" s="3" t="e">
        <f t="shared" si="77"/>
        <v>#REF!</v>
      </c>
      <c r="AV30" s="3"/>
      <c r="AW30" s="3"/>
      <c r="AX30" s="3"/>
    </row>
    <row r="31" spans="2:151" x14ac:dyDescent="0.2">
      <c r="B31" s="2" t="s">
        <v>1</v>
      </c>
      <c r="C31" s="2">
        <v>1186.2</v>
      </c>
      <c r="D31" s="2">
        <v>1187.9000000000001</v>
      </c>
      <c r="E31" s="2">
        <v>1176.5999999999999</v>
      </c>
      <c r="F31" s="2">
        <v>1151</v>
      </c>
      <c r="G31" s="2">
        <v>1151</v>
      </c>
      <c r="H31" s="2">
        <v>1152.5</v>
      </c>
      <c r="I31" s="2">
        <v>1152.9000000000001</v>
      </c>
      <c r="J31" s="2">
        <v>1152.7</v>
      </c>
      <c r="K31" s="2">
        <v>1150.5</v>
      </c>
      <c r="L31" s="2">
        <v>1149.4000000000001</v>
      </c>
      <c r="M31" s="2">
        <v>1140.5999999999999</v>
      </c>
      <c r="N31" s="2">
        <v>1135.4000000000001</v>
      </c>
      <c r="O31" s="2">
        <v>1135.8</v>
      </c>
      <c r="P31" s="2">
        <v>1137.3</v>
      </c>
      <c r="Q31" s="2">
        <v>1138.4000000000001</v>
      </c>
      <c r="R31" s="2">
        <v>1140</v>
      </c>
      <c r="U31" s="2">
        <v>745.9</v>
      </c>
      <c r="V31" s="2">
        <v>764.2</v>
      </c>
      <c r="W31" s="2">
        <v>769.7</v>
      </c>
      <c r="X31" s="2">
        <v>773</v>
      </c>
      <c r="Y31" s="2">
        <v>1524.5</v>
      </c>
      <c r="Z31" s="2">
        <v>1526.3</v>
      </c>
      <c r="AA31" s="2">
        <v>1513.4</v>
      </c>
      <c r="AB31" s="2">
        <v>1486.7</v>
      </c>
      <c r="AC31" s="2">
        <v>1461.5</v>
      </c>
      <c r="AD31" s="2">
        <v>1394.6</v>
      </c>
      <c r="AE31" s="2">
        <v>1233.2</v>
      </c>
      <c r="AF31" s="2">
        <v>1181.8</v>
      </c>
      <c r="AG31" s="2">
        <v>1185.5</v>
      </c>
      <c r="AH31" s="2">
        <v>1158.5</v>
      </c>
      <c r="AI31" s="2">
        <v>1151.3</v>
      </c>
      <c r="AJ31" s="2">
        <f>+AVERAGE(M31:P31)</f>
        <v>1137.2750000000001</v>
      </c>
      <c r="AK31" s="2">
        <f t="shared" ref="AK31:AU31" si="78">+AJ31*0.97</f>
        <v>1103.1567500000001</v>
      </c>
      <c r="AL31" s="2">
        <f t="shared" si="78"/>
        <v>1070.0620475000001</v>
      </c>
      <c r="AM31" s="2">
        <f t="shared" si="78"/>
        <v>1037.9601860750001</v>
      </c>
      <c r="AN31" s="2">
        <f t="shared" si="78"/>
        <v>1006.8213804927501</v>
      </c>
      <c r="AO31" s="2">
        <f t="shared" si="78"/>
        <v>976.61673907796762</v>
      </c>
      <c r="AP31" s="2">
        <f t="shared" si="78"/>
        <v>947.31823690562862</v>
      </c>
      <c r="AQ31" s="2">
        <f t="shared" si="78"/>
        <v>918.89868979845971</v>
      </c>
      <c r="AR31" s="2">
        <f t="shared" si="78"/>
        <v>891.33172910450594</v>
      </c>
      <c r="AS31" s="2">
        <f t="shared" si="78"/>
        <v>864.59177723137077</v>
      </c>
      <c r="AT31" s="2">
        <f t="shared" si="78"/>
        <v>838.65402391442967</v>
      </c>
      <c r="AU31" s="2">
        <f t="shared" si="78"/>
        <v>813.49440319699681</v>
      </c>
    </row>
    <row r="32" spans="2:151" x14ac:dyDescent="0.2">
      <c r="Q32" s="2"/>
      <c r="R32" s="2"/>
    </row>
    <row r="33" spans="2:53" s="6" customFormat="1" x14ac:dyDescent="0.2">
      <c r="B33" s="6" t="s">
        <v>18</v>
      </c>
      <c r="C33" s="6">
        <f t="shared" ref="C33:O33" si="79">+C24/C18</f>
        <v>0.23441606082838673</v>
      </c>
      <c r="D33" s="6">
        <f t="shared" si="79"/>
        <v>0.21756048461340172</v>
      </c>
      <c r="E33" s="6">
        <f t="shared" si="79"/>
        <v>0.18582927556394715</v>
      </c>
      <c r="F33" s="6">
        <f t="shared" si="79"/>
        <v>0.16657499083241653</v>
      </c>
      <c r="G33" s="6">
        <f t="shared" si="79"/>
        <v>0.19781352376044462</v>
      </c>
      <c r="H33" s="6">
        <f t="shared" si="79"/>
        <v>0.17796106581730869</v>
      </c>
      <c r="I33" s="6">
        <f t="shared" si="79"/>
        <v>0.17537497561367468</v>
      </c>
      <c r="J33" s="6">
        <f t="shared" si="79"/>
        <v>0.17609348838276109</v>
      </c>
      <c r="K33" s="6">
        <f t="shared" si="79"/>
        <v>0.20325469280019198</v>
      </c>
      <c r="L33" s="6">
        <f t="shared" si="79"/>
        <v>0.20677221131689005</v>
      </c>
      <c r="M33" s="6">
        <f t="shared" si="79"/>
        <v>0.19042364699266862</v>
      </c>
      <c r="N33" s="6">
        <f t="shared" si="79"/>
        <v>0.16382109073922693</v>
      </c>
      <c r="O33" s="6">
        <f t="shared" si="79"/>
        <v>0.20013386146435666</v>
      </c>
      <c r="P33" s="6">
        <f t="shared" ref="P33:Q33" si="80">+P24/P18</f>
        <v>0.17616266255234736</v>
      </c>
      <c r="Q33" s="6">
        <f t="shared" si="80"/>
        <v>0.15778160846155476</v>
      </c>
      <c r="R33" s="6">
        <f t="shared" ref="R33" si="81">+R24/R18</f>
        <v>0.12292275383491599</v>
      </c>
      <c r="S33" s="24"/>
      <c r="T33" s="24"/>
      <c r="U33" s="6">
        <f t="shared" ref="U33:AI33" si="82">+U24/U18</f>
        <v>0.13373437276205682</v>
      </c>
      <c r="V33" s="6">
        <f t="shared" si="82"/>
        <v>0.17134878682032992</v>
      </c>
      <c r="W33" s="6">
        <f t="shared" si="82"/>
        <v>0.17502820416396034</v>
      </c>
      <c r="X33" s="6">
        <f t="shared" si="82"/>
        <v>0.17572089176284822</v>
      </c>
      <c r="Y33" s="6">
        <f t="shared" si="82"/>
        <v>0.19026959399467272</v>
      </c>
      <c r="Z33" s="6">
        <f t="shared" si="82"/>
        <v>0.21292817276474671</v>
      </c>
      <c r="AA33" s="6">
        <f t="shared" si="82"/>
        <v>0.22152410672817505</v>
      </c>
      <c r="AB33" s="6">
        <f t="shared" si="82"/>
        <v>0.226802527690597</v>
      </c>
      <c r="AC33" s="6">
        <f t="shared" si="82"/>
        <v>0.23886397341290394</v>
      </c>
      <c r="AD33" s="6">
        <f t="shared" si="82"/>
        <v>0.20443374663727018</v>
      </c>
      <c r="AE33" s="6">
        <f t="shared" si="82"/>
        <v>0.19967105014976283</v>
      </c>
      <c r="AF33" s="6">
        <f t="shared" si="82"/>
        <v>0.12540181988264298</v>
      </c>
      <c r="AG33" s="6">
        <f t="shared" si="82"/>
        <v>0.20986834408098945</v>
      </c>
      <c r="AH33" s="6">
        <f t="shared" si="82"/>
        <v>0.18224946744681453</v>
      </c>
      <c r="AI33" s="6">
        <f t="shared" si="82"/>
        <v>0.19083767887123484</v>
      </c>
      <c r="AJ33" s="6">
        <f t="shared" ref="AJ33:AU33" si="83">+AJ24/AJ18</f>
        <v>0.18299600289693221</v>
      </c>
      <c r="AK33" s="6">
        <f t="shared" si="83"/>
        <v>0.17588356637994246</v>
      </c>
      <c r="AL33" s="6">
        <f t="shared" si="83"/>
        <v>0.1684919732504335</v>
      </c>
      <c r="AM33" s="6">
        <f t="shared" si="83"/>
        <v>0.16081557675169514</v>
      </c>
      <c r="AN33" s="6">
        <f t="shared" si="83"/>
        <v>0.1528485375966063</v>
      </c>
      <c r="AO33" s="6">
        <f t="shared" si="83"/>
        <v>0.14458481846585097</v>
      </c>
      <c r="AP33" s="6">
        <f t="shared" si="83"/>
        <v>0.13601817830167073</v>
      </c>
      <c r="AQ33" s="6">
        <f t="shared" si="83"/>
        <v>0.12714216639036449</v>
      </c>
      <c r="AR33" s="6">
        <f t="shared" si="83"/>
        <v>0.11795011622650174</v>
      </c>
      <c r="AS33" s="6">
        <f t="shared" si="83"/>
        <v>0.10843513915153541</v>
      </c>
      <c r="AT33" s="6">
        <f t="shared" si="83"/>
        <v>9.8590117759231224E-2</v>
      </c>
      <c r="AU33" s="6">
        <f t="shared" si="83"/>
        <v>8.8407699060042574E-2</v>
      </c>
      <c r="AZ33" s="6" t="s">
        <v>77</v>
      </c>
      <c r="BA33" s="6">
        <v>-0.01</v>
      </c>
    </row>
    <row r="34" spans="2:53" s="6" customFormat="1" x14ac:dyDescent="0.2">
      <c r="B34" s="6" t="s">
        <v>16</v>
      </c>
      <c r="C34" s="6">
        <f t="shared" ref="C34:O34" si="84">+C29/C18</f>
        <v>0.18979523777762972</v>
      </c>
      <c r="D34" s="6">
        <f t="shared" si="84"/>
        <v>0.14610824014631688</v>
      </c>
      <c r="E34" s="6">
        <f t="shared" si="84"/>
        <v>0.14089983106429493</v>
      </c>
      <c r="F34" s="6">
        <f t="shared" si="84"/>
        <v>0.13070354654513067</v>
      </c>
      <c r="G34" s="6">
        <f t="shared" si="84"/>
        <v>0.15096747279174486</v>
      </c>
      <c r="H34" s="6">
        <f t="shared" si="84"/>
        <v>0.14028665826816558</v>
      </c>
      <c r="I34" s="6">
        <f t="shared" si="84"/>
        <v>0.12971229874109183</v>
      </c>
      <c r="J34" s="6">
        <f t="shared" si="84"/>
        <v>0.12801899126126748</v>
      </c>
      <c r="K34" s="6">
        <f t="shared" si="84"/>
        <v>0.15504510105472116</v>
      </c>
      <c r="L34" s="6">
        <f t="shared" si="84"/>
        <v>0.15482845438252121</v>
      </c>
      <c r="M34" s="6">
        <f t="shared" si="84"/>
        <v>0.14151273699510886</v>
      </c>
      <c r="N34" s="6">
        <f t="shared" si="84"/>
        <v>0.12570360854840595</v>
      </c>
      <c r="O34" s="6">
        <f t="shared" si="84"/>
        <v>0.14946400553001457</v>
      </c>
      <c r="P34" s="6">
        <f t="shared" ref="P34:Q34" si="85">+P29/P18</f>
        <v>0.132378223495702</v>
      </c>
      <c r="Q34" s="6">
        <f t="shared" si="85"/>
        <v>0.12151780203877495</v>
      </c>
      <c r="R34" s="6">
        <f t="shared" ref="R34" si="86">+R29/R18</f>
        <v>9.8167001460920375E-2</v>
      </c>
      <c r="S34" s="24"/>
      <c r="T34" s="24"/>
      <c r="U34" s="6">
        <f t="shared" ref="U34:AI34" si="87">+U29/U18</f>
        <v>0.11629120373212209</v>
      </c>
      <c r="V34" s="6">
        <f t="shared" si="87"/>
        <v>0.1273511776901956</v>
      </c>
      <c r="W34" s="6">
        <f t="shared" si="87"/>
        <v>0.13396123209462937</v>
      </c>
      <c r="X34" s="6">
        <f t="shared" si="87"/>
        <v>0.1296514906575435</v>
      </c>
      <c r="Y34" s="6">
        <f t="shared" si="87"/>
        <v>0.21274921301154251</v>
      </c>
      <c r="Z34" s="6">
        <f t="shared" si="87"/>
        <v>0.15131506949257656</v>
      </c>
      <c r="AA34" s="6">
        <f t="shared" si="87"/>
        <v>0.160405370850663</v>
      </c>
      <c r="AB34" s="6">
        <f t="shared" si="87"/>
        <v>0.16307545071988502</v>
      </c>
      <c r="AC34" s="6">
        <f t="shared" si="87"/>
        <v>0.17885986384833913</v>
      </c>
      <c r="AD34" s="6">
        <f t="shared" si="87"/>
        <v>0.15423451121584175</v>
      </c>
      <c r="AE34" s="6">
        <f t="shared" si="87"/>
        <v>0.15794496880257738</v>
      </c>
      <c r="AF34" s="6">
        <f t="shared" si="87"/>
        <v>9.8316183348924113E-2</v>
      </c>
      <c r="AG34" s="6">
        <f t="shared" si="87"/>
        <v>0.15700295245108506</v>
      </c>
      <c r="AH34" s="6">
        <f t="shared" si="87"/>
        <v>0.1408731081571335</v>
      </c>
      <c r="AI34" s="6">
        <f t="shared" si="87"/>
        <v>0.142302004692069</v>
      </c>
      <c r="AJ34" s="6">
        <f t="shared" ref="AJ34:AU34" si="88">+AJ29/AJ18</f>
        <v>0.13748265434180482</v>
      </c>
      <c r="AK34" s="6">
        <f t="shared" si="88"/>
        <v>0.14076514550315436</v>
      </c>
      <c r="AL34" s="6" t="e">
        <f t="shared" si="88"/>
        <v>#REF!</v>
      </c>
      <c r="AM34" s="6" t="e">
        <f t="shared" si="88"/>
        <v>#REF!</v>
      </c>
      <c r="AN34" s="6" t="e">
        <f t="shared" si="88"/>
        <v>#REF!</v>
      </c>
      <c r="AO34" s="6" t="e">
        <f t="shared" si="88"/>
        <v>#REF!</v>
      </c>
      <c r="AP34" s="6" t="e">
        <f t="shared" si="88"/>
        <v>#REF!</v>
      </c>
      <c r="AQ34" s="6" t="e">
        <f t="shared" si="88"/>
        <v>#REF!</v>
      </c>
      <c r="AR34" s="6" t="e">
        <f t="shared" si="88"/>
        <v>#REF!</v>
      </c>
      <c r="AS34" s="6" t="e">
        <f t="shared" si="88"/>
        <v>#REF!</v>
      </c>
      <c r="AT34" s="6" t="e">
        <f t="shared" si="88"/>
        <v>#REF!</v>
      </c>
      <c r="AU34" s="6" t="e">
        <f t="shared" si="88"/>
        <v>#REF!</v>
      </c>
      <c r="AZ34" s="6" t="s">
        <v>78</v>
      </c>
      <c r="BA34" s="6">
        <v>0.1</v>
      </c>
    </row>
    <row r="35" spans="2:53" s="6" customFormat="1" x14ac:dyDescent="0.2">
      <c r="B35" s="6" t="s">
        <v>19</v>
      </c>
      <c r="C35" s="6">
        <f t="shared" ref="C35:O35" si="89">+C28/C27</f>
        <v>0.15304482409667233</v>
      </c>
      <c r="D35" s="6">
        <f t="shared" si="89"/>
        <v>0.28865116834996718</v>
      </c>
      <c r="E35" s="6">
        <f t="shared" si="89"/>
        <v>0.1784006953498479</v>
      </c>
      <c r="F35" s="6">
        <f t="shared" si="89"/>
        <v>0.16770911516971065</v>
      </c>
      <c r="G35" s="6">
        <f t="shared" si="89"/>
        <v>0.18457154218304728</v>
      </c>
      <c r="H35" s="6">
        <f t="shared" si="89"/>
        <v>0.1587199771933577</v>
      </c>
      <c r="I35" s="6">
        <f t="shared" si="89"/>
        <v>0.19842564357137793</v>
      </c>
      <c r="J35" s="6">
        <f t="shared" si="89"/>
        <v>0.21254232505643342</v>
      </c>
      <c r="K35" s="6">
        <f t="shared" si="89"/>
        <v>0.18487298583634382</v>
      </c>
      <c r="L35" s="6">
        <f t="shared" si="89"/>
        <v>0.2048106953043668</v>
      </c>
      <c r="M35" s="6">
        <f t="shared" si="89"/>
        <v>0.21006810778797758</v>
      </c>
      <c r="N35" s="6">
        <f t="shared" si="89"/>
        <v>0.16963665818097662</v>
      </c>
      <c r="O35" s="6">
        <f t="shared" si="89"/>
        <v>0.20376432078559739</v>
      </c>
      <c r="P35" s="6">
        <f t="shared" ref="P35:Q35" si="90">+P28/P27</f>
        <v>0.19127449000201982</v>
      </c>
      <c r="Q35" s="6">
        <f t="shared" si="90"/>
        <v>0.17449761457279178</v>
      </c>
      <c r="R35" s="6">
        <f t="shared" ref="R35" si="91">+R28/R27</f>
        <v>0.12064206113894285</v>
      </c>
      <c r="S35" s="24"/>
      <c r="T35" s="24"/>
      <c r="U35" s="6">
        <f t="shared" ref="U35:AI35" si="92">+U28/U27</f>
        <v>0.12903225806451604</v>
      </c>
      <c r="V35" s="6">
        <f t="shared" si="92"/>
        <v>0.26383415213518319</v>
      </c>
      <c r="W35" s="6">
        <f t="shared" si="92"/>
        <v>0.2643041539544706</v>
      </c>
      <c r="X35" s="6">
        <f t="shared" si="92"/>
        <v>0.28115229082419646</v>
      </c>
      <c r="Y35" s="6">
        <f t="shared" si="92"/>
        <v>-8.1629163531906135E-2</v>
      </c>
      <c r="Z35" s="6">
        <f t="shared" si="92"/>
        <v>0.30495978552278813</v>
      </c>
      <c r="AA35" s="6">
        <f t="shared" si="92"/>
        <v>0.27117960877296976</v>
      </c>
      <c r="AB35" s="6">
        <f t="shared" si="92"/>
        <v>0.28413443716792308</v>
      </c>
      <c r="AC35" s="6">
        <f t="shared" si="92"/>
        <v>0.26350543528243242</v>
      </c>
      <c r="AD35" s="6">
        <f t="shared" si="92"/>
        <v>0.24868955188586292</v>
      </c>
      <c r="AE35" s="6">
        <f t="shared" si="92"/>
        <v>0.17230404270040514</v>
      </c>
      <c r="AF35" s="6">
        <f t="shared" si="92"/>
        <v>9.393001293154131E-2</v>
      </c>
      <c r="AG35" s="6">
        <f t="shared" si="92"/>
        <v>0.20223108127010764</v>
      </c>
      <c r="AH35" s="6">
        <f t="shared" si="92"/>
        <v>0.17271518837518429</v>
      </c>
      <c r="AI35" s="6">
        <f t="shared" si="92"/>
        <v>0.19966857392990037</v>
      </c>
      <c r="AJ35" s="6">
        <f t="shared" ref="AJ35:AU35" si="93">+AJ28/AJ27</f>
        <v>0.19532754129657501</v>
      </c>
      <c r="AK35" s="6">
        <f t="shared" si="93"/>
        <v>0.19966857392990037</v>
      </c>
      <c r="AL35" s="6" t="e">
        <f t="shared" si="93"/>
        <v>#REF!</v>
      </c>
      <c r="AM35" s="6" t="e">
        <f t="shared" si="93"/>
        <v>#REF!</v>
      </c>
      <c r="AN35" s="6" t="e">
        <f t="shared" si="93"/>
        <v>#REF!</v>
      </c>
      <c r="AO35" s="6" t="e">
        <f t="shared" si="93"/>
        <v>#REF!</v>
      </c>
      <c r="AP35" s="6" t="e">
        <f t="shared" si="93"/>
        <v>#REF!</v>
      </c>
      <c r="AQ35" s="6" t="e">
        <f t="shared" si="93"/>
        <v>#REF!</v>
      </c>
      <c r="AR35" s="6" t="e">
        <f t="shared" si="93"/>
        <v>#REF!</v>
      </c>
      <c r="AS35" s="6" t="e">
        <f t="shared" si="93"/>
        <v>#REF!</v>
      </c>
      <c r="AT35" s="6" t="e">
        <f t="shared" si="93"/>
        <v>#REF!</v>
      </c>
      <c r="AU35" s="6" t="e">
        <f t="shared" si="93"/>
        <v>#REF!</v>
      </c>
      <c r="AZ35" s="6" t="s">
        <v>79</v>
      </c>
      <c r="BA35" s="2" t="e">
        <f>NPV(BA34,AJ29:EU29)</f>
        <v>#REF!</v>
      </c>
    </row>
    <row r="36" spans="2:53" s="6" customFormat="1" x14ac:dyDescent="0.2">
      <c r="S36" s="24"/>
      <c r="T36" s="24"/>
      <c r="AZ36" s="2" t="s">
        <v>80</v>
      </c>
      <c r="BA36" s="3" t="e">
        <f>+#REF!/Main!K3</f>
        <v>#REF!</v>
      </c>
    </row>
    <row r="37" spans="2:53" s="7" customFormat="1" x14ac:dyDescent="0.2">
      <c r="B37" s="7" t="s">
        <v>20</v>
      </c>
      <c r="G37" s="7">
        <f t="shared" ref="G37:R37" si="94">+G18/C18-1</f>
        <v>8.7187354098579473E-2</v>
      </c>
      <c r="H37" s="7">
        <f t="shared" si="94"/>
        <v>3.2835381197294566E-2</v>
      </c>
      <c r="I37" s="7">
        <f t="shared" si="94"/>
        <v>8.241826493093507E-2</v>
      </c>
      <c r="J37" s="7">
        <f t="shared" si="94"/>
        <v>0.14199277070564187</v>
      </c>
      <c r="K37" s="7">
        <f t="shared" si="94"/>
        <v>0.12493098244193312</v>
      </c>
      <c r="L37" s="7">
        <f t="shared" si="94"/>
        <v>0.11402153502412604</v>
      </c>
      <c r="M37" s="7">
        <f t="shared" si="94"/>
        <v>8.1639679133338694E-2</v>
      </c>
      <c r="N37" s="7">
        <f t="shared" si="94"/>
        <v>-1.7982063808802851E-2</v>
      </c>
      <c r="O37" s="7">
        <f t="shared" si="94"/>
        <v>-5.9334882148270873E-3</v>
      </c>
      <c r="P37" s="7">
        <f t="shared" si="94"/>
        <v>-3.1962106341213659E-2</v>
      </c>
      <c r="Q37" s="7">
        <f t="shared" si="94"/>
        <v>-2.9176790128696561E-3</v>
      </c>
      <c r="R37" s="7">
        <f t="shared" si="94"/>
        <v>2.3192806259488608E-2</v>
      </c>
      <c r="S37" s="25"/>
      <c r="T37" s="25"/>
      <c r="U37" s="7" t="e">
        <f>+U18/#REF!-1</f>
        <v>#REF!</v>
      </c>
      <c r="V37" s="7">
        <f t="shared" ref="V37:AU37" si="95">+V18/U18-1</f>
        <v>9.5431015079901149E-2</v>
      </c>
      <c r="W37" s="7">
        <f t="shared" si="95"/>
        <v>9.2739600650017628E-2</v>
      </c>
      <c r="X37" s="7">
        <f t="shared" si="95"/>
        <v>0.13667054117807931</v>
      </c>
      <c r="Y37" s="7">
        <f t="shared" si="95"/>
        <v>0.11784653558404456</v>
      </c>
      <c r="Z37" s="7">
        <f t="shared" si="95"/>
        <v>0.10634433771894414</v>
      </c>
      <c r="AA37" s="7">
        <f t="shared" si="95"/>
        <v>0.16506158878391042</v>
      </c>
      <c r="AB37" s="7">
        <f t="shared" si="95"/>
        <v>0.1123641240534996</v>
      </c>
      <c r="AC37" s="7">
        <f t="shared" si="95"/>
        <v>5.0239492585347101E-2</v>
      </c>
      <c r="AD37" s="7">
        <f t="shared" si="95"/>
        <v>0.10419979630853904</v>
      </c>
      <c r="AE37" s="7">
        <f t="shared" si="95"/>
        <v>7.2376059386314529E-2</v>
      </c>
      <c r="AF37" s="7">
        <f t="shared" si="95"/>
        <v>-0.11281621813298348</v>
      </c>
      <c r="AG37" s="7">
        <f t="shared" si="95"/>
        <v>0.23567480227910553</v>
      </c>
      <c r="AH37" s="7">
        <f t="shared" si="95"/>
        <v>0.10976029400631782</v>
      </c>
      <c r="AI37" s="7">
        <f t="shared" si="95"/>
        <v>0.11551210376337573</v>
      </c>
      <c r="AJ37" s="7">
        <f t="shared" si="95"/>
        <v>5.5760015121359974E-3</v>
      </c>
      <c r="AK37" s="7">
        <f t="shared" si="95"/>
        <v>8.0000000000000071E-2</v>
      </c>
      <c r="AL37" s="7">
        <f t="shared" si="95"/>
        <v>8.0000000000000071E-2</v>
      </c>
      <c r="AM37" s="7">
        <f t="shared" si="95"/>
        <v>8.0000000000000071E-2</v>
      </c>
      <c r="AN37" s="7">
        <f t="shared" si="95"/>
        <v>8.0000000000000071E-2</v>
      </c>
      <c r="AO37" s="7">
        <f t="shared" si="95"/>
        <v>8.0000000000000071E-2</v>
      </c>
      <c r="AP37" s="7">
        <f t="shared" si="95"/>
        <v>8.0000000000000071E-2</v>
      </c>
      <c r="AQ37" s="7">
        <f t="shared" si="95"/>
        <v>8.0000000000000071E-2</v>
      </c>
      <c r="AR37" s="7">
        <f t="shared" si="95"/>
        <v>8.0000000000000071E-2</v>
      </c>
      <c r="AS37" s="7">
        <f t="shared" si="95"/>
        <v>8.0000000000000071E-2</v>
      </c>
      <c r="AT37" s="7">
        <f t="shared" si="95"/>
        <v>8.0000000000000071E-2</v>
      </c>
      <c r="AU37" s="7">
        <f t="shared" si="95"/>
        <v>8.0000000000000071E-2</v>
      </c>
      <c r="AZ37" s="2" t="s">
        <v>81</v>
      </c>
      <c r="BA37" s="6" t="e">
        <f>+BA36/BA38-1</f>
        <v>#REF!</v>
      </c>
    </row>
    <row r="38" spans="2:53" x14ac:dyDescent="0.2">
      <c r="BA38" s="3"/>
    </row>
    <row r="39" spans="2:53" x14ac:dyDescent="0.2">
      <c r="B39" s="2" t="s">
        <v>21</v>
      </c>
      <c r="M39" s="2">
        <f>+M40-M55</f>
        <v>-10990.899999999998</v>
      </c>
      <c r="N39" s="2">
        <f>+N40-N55</f>
        <v>-11742.400000000001</v>
      </c>
      <c r="O39" s="2">
        <f>+O40-O55</f>
        <v>-11452.2</v>
      </c>
      <c r="P39" s="2">
        <f>+P40-P55</f>
        <v>-11285.3</v>
      </c>
      <c r="Q39" s="2">
        <f>+Q40-Q55</f>
        <v>-10927.600000000002</v>
      </c>
      <c r="R39" s="2">
        <f>+R40-R55</f>
        <v>-11871.199999999999</v>
      </c>
    </row>
    <row r="40" spans="2:53" x14ac:dyDescent="0.2">
      <c r="B40" s="2" t="s">
        <v>3</v>
      </c>
      <c r="M40" s="2">
        <f>3000.4+383+239.8+401</f>
        <v>4024.2000000000003</v>
      </c>
      <c r="N40" s="2">
        <f>2764.1+362.5+280.4+440.2</f>
        <v>3847.2</v>
      </c>
      <c r="O40" s="2">
        <f>3179.1+212.3+274.8+456.1</f>
        <v>4122.3</v>
      </c>
      <c r="P40" s="2">
        <f>3286.2+257+276+463.9</f>
        <v>4283.0999999999995</v>
      </c>
      <c r="Q40" s="2">
        <f>3671.4+285.8+227.3+449.3</f>
        <v>4633.8</v>
      </c>
      <c r="R40" s="2">
        <f>2671.4+340.2+222.1+466.9</f>
        <v>3700.6</v>
      </c>
    </row>
    <row r="41" spans="2:53" x14ac:dyDescent="0.2">
      <c r="B41" s="2" t="s">
        <v>22</v>
      </c>
      <c r="M41" s="2">
        <v>1165.0999999999999</v>
      </c>
      <c r="N41" s="2">
        <v>1110.3</v>
      </c>
      <c r="O41" s="2">
        <v>1146</v>
      </c>
      <c r="P41" s="2">
        <v>1213.8</v>
      </c>
      <c r="Q41" s="2">
        <v>1241.5</v>
      </c>
      <c r="R41" s="2">
        <v>1154.7</v>
      </c>
    </row>
    <row r="42" spans="2:53" x14ac:dyDescent="0.2">
      <c r="B42" s="2" t="s">
        <v>23</v>
      </c>
      <c r="M42" s="2">
        <v>1646.3</v>
      </c>
      <c r="N42" s="2">
        <v>1744</v>
      </c>
      <c r="O42" s="2">
        <v>1854.7</v>
      </c>
      <c r="P42" s="2">
        <v>1777.3</v>
      </c>
      <c r="Q42" s="2">
        <v>1731.6</v>
      </c>
      <c r="R42" s="2">
        <v>2047.3</v>
      </c>
    </row>
    <row r="43" spans="2:53" x14ac:dyDescent="0.2">
      <c r="B43" s="2" t="s">
        <v>24</v>
      </c>
      <c r="M43" s="2">
        <v>374.7</v>
      </c>
      <c r="N43" s="2">
        <v>484.1</v>
      </c>
      <c r="O43" s="2">
        <v>415.8</v>
      </c>
      <c r="P43" s="2">
        <v>313.10000000000002</v>
      </c>
      <c r="Q43" s="2">
        <v>354.4</v>
      </c>
      <c r="R43" s="2">
        <v>500.1</v>
      </c>
    </row>
    <row r="44" spans="2:53" x14ac:dyDescent="0.2">
      <c r="B44" s="2" t="s">
        <v>25</v>
      </c>
      <c r="M44" s="2">
        <v>7611.7</v>
      </c>
      <c r="N44" s="2">
        <v>7817.4</v>
      </c>
      <c r="O44" s="2">
        <v>8080.3</v>
      </c>
      <c r="P44" s="2">
        <v>8665.5</v>
      </c>
      <c r="Q44" s="2">
        <v>8683.5</v>
      </c>
      <c r="R44" s="2">
        <v>8820.2000000000007</v>
      </c>
    </row>
    <row r="45" spans="2:53" x14ac:dyDescent="0.2">
      <c r="B45" s="2" t="s">
        <v>26</v>
      </c>
      <c r="M45" s="2">
        <v>8638.6</v>
      </c>
      <c r="N45" s="2">
        <v>8686.5</v>
      </c>
      <c r="O45" s="2">
        <v>8808.1</v>
      </c>
      <c r="P45" s="2">
        <v>9286.2000000000007</v>
      </c>
      <c r="Q45" s="2">
        <v>9358.1</v>
      </c>
      <c r="R45" s="2">
        <v>9467.2000000000007</v>
      </c>
    </row>
    <row r="46" spans="2:53" x14ac:dyDescent="0.2">
      <c r="B46" s="2" t="s">
        <v>27</v>
      </c>
      <c r="M46" s="2">
        <v>1769.4</v>
      </c>
      <c r="N46" s="2">
        <v>1746.5</v>
      </c>
      <c r="O46" s="2">
        <v>1701.6</v>
      </c>
      <c r="P46" s="2">
        <v>1766.7</v>
      </c>
      <c r="Q46" s="2">
        <v>1723</v>
      </c>
      <c r="R46" s="2">
        <v>1735.9</v>
      </c>
    </row>
    <row r="47" spans="2:53" x14ac:dyDescent="0.2">
      <c r="B47" s="2" t="s">
        <v>6</v>
      </c>
      <c r="M47" s="2">
        <v>531.1</v>
      </c>
      <c r="N47" s="2">
        <v>587.20000000000005</v>
      </c>
      <c r="O47" s="2">
        <v>693.7</v>
      </c>
      <c r="P47" s="2">
        <v>617</v>
      </c>
      <c r="Q47" s="2">
        <v>708.8</v>
      </c>
      <c r="R47" s="2">
        <v>713.1</v>
      </c>
    </row>
    <row r="48" spans="2:53" x14ac:dyDescent="0.2">
      <c r="B48" s="2" t="s">
        <v>28</v>
      </c>
      <c r="M48" s="2">
        <f>115.8+3302.8</f>
        <v>3418.6000000000004</v>
      </c>
      <c r="N48" s="2">
        <f>110.7+3229.3</f>
        <v>3340</v>
      </c>
      <c r="O48" s="2">
        <f>105.7+3183.6</f>
        <v>3289.2999999999997</v>
      </c>
      <c r="P48" s="2">
        <f>100.9+3315.7</f>
        <v>3416.6</v>
      </c>
      <c r="Q48" s="2">
        <f>170.5+3287.9</f>
        <v>3458.4</v>
      </c>
      <c r="R48" s="2">
        <f>169.3+3324.7</f>
        <v>3494</v>
      </c>
    </row>
    <row r="49" spans="2:20" s="8" customFormat="1" x14ac:dyDescent="0.2">
      <c r="B49" s="8" t="s">
        <v>29</v>
      </c>
      <c r="M49" s="8">
        <f>+SUM(M40:M48)</f>
        <v>29179.699999999997</v>
      </c>
      <c r="N49" s="8">
        <f>+SUM(N40:N48)</f>
        <v>29363.200000000001</v>
      </c>
      <c r="O49" s="8">
        <f>+SUM(O40:O48)</f>
        <v>30111.8</v>
      </c>
      <c r="P49" s="8">
        <f>+SUM(P40:P48)</f>
        <v>31339.3</v>
      </c>
      <c r="Q49" s="8">
        <f>+SUM(Q40:Q48)</f>
        <v>31893.100000000002</v>
      </c>
      <c r="R49" s="8">
        <f>+SUM(R40:R48)</f>
        <v>31633.100000000002</v>
      </c>
      <c r="S49" s="22"/>
      <c r="T49" s="22"/>
    </row>
    <row r="50" spans="2:20" x14ac:dyDescent="0.2">
      <c r="B50" s="2" t="s">
        <v>30</v>
      </c>
      <c r="M50" s="2">
        <v>1460.7</v>
      </c>
      <c r="N50" s="2">
        <v>1487.4</v>
      </c>
      <c r="O50" s="2">
        <v>1586.3</v>
      </c>
      <c r="P50" s="2">
        <v>1595.5</v>
      </c>
      <c r="Q50" s="2">
        <v>1777.7</v>
      </c>
      <c r="R50" s="2">
        <v>1913.8</v>
      </c>
    </row>
    <row r="51" spans="2:20" x14ac:dyDescent="0.2">
      <c r="B51" s="2" t="s">
        <v>31</v>
      </c>
      <c r="M51" s="2">
        <v>2326.9</v>
      </c>
      <c r="N51" s="2">
        <v>2016</v>
      </c>
      <c r="O51" s="2">
        <v>2081.5</v>
      </c>
      <c r="P51" s="2">
        <v>2194.6999999999998</v>
      </c>
      <c r="Q51" s="2">
        <v>2211.8000000000002</v>
      </c>
      <c r="R51" s="2">
        <v>2036.7</v>
      </c>
    </row>
    <row r="52" spans="2:20" x14ac:dyDescent="0.2">
      <c r="B52" s="2" t="s">
        <v>32</v>
      </c>
      <c r="M52" s="2">
        <v>648.5</v>
      </c>
      <c r="N52" s="2">
        <v>704.8</v>
      </c>
      <c r="O52" s="2">
        <v>708.4</v>
      </c>
      <c r="P52" s="2">
        <v>786.6</v>
      </c>
      <c r="Q52" s="2">
        <v>780</v>
      </c>
      <c r="R52" s="2">
        <v>833.1</v>
      </c>
    </row>
    <row r="53" spans="2:20" x14ac:dyDescent="0.2">
      <c r="B53" s="2" t="s">
        <v>26</v>
      </c>
      <c r="M53" s="2">
        <v>1309.4000000000001</v>
      </c>
      <c r="N53" s="2">
        <v>1406.6</v>
      </c>
      <c r="O53" s="2">
        <v>1419.2</v>
      </c>
      <c r="P53" s="2">
        <f>1463.1</f>
        <v>1463.1</v>
      </c>
      <c r="Q53" s="2">
        <v>1453.3</v>
      </c>
      <c r="R53" s="2">
        <v>1477.8</v>
      </c>
    </row>
    <row r="54" spans="2:20" x14ac:dyDescent="0.2">
      <c r="B54" s="2" t="s">
        <v>33</v>
      </c>
      <c r="M54" s="2">
        <v>2199.8000000000002</v>
      </c>
      <c r="N54" s="2">
        <v>1872</v>
      </c>
      <c r="O54" s="2">
        <v>1831</v>
      </c>
      <c r="P54" s="2">
        <f>1781.2</f>
        <v>1781.2</v>
      </c>
      <c r="Q54" s="2">
        <v>2253.3000000000002</v>
      </c>
      <c r="R54" s="2">
        <v>1920.1</v>
      </c>
    </row>
    <row r="55" spans="2:20" x14ac:dyDescent="0.2">
      <c r="B55" s="2" t="s">
        <v>4</v>
      </c>
      <c r="M55" s="2">
        <f>349.5+1100.8+13564.8</f>
        <v>15015.099999999999</v>
      </c>
      <c r="N55" s="2">
        <f>42.1+15547.5</f>
        <v>15589.6</v>
      </c>
      <c r="O55" s="2">
        <f>23.1+15551.4</f>
        <v>15574.5</v>
      </c>
      <c r="P55" s="2">
        <f>1248.9+14319.5</f>
        <v>15568.4</v>
      </c>
      <c r="Q55" s="2">
        <f>1249.2+14312.2</f>
        <v>15561.400000000001</v>
      </c>
      <c r="R55" s="2">
        <f>2247.8+13324</f>
        <v>15571.8</v>
      </c>
    </row>
    <row r="56" spans="2:20" x14ac:dyDescent="0.2">
      <c r="B56" s="2" t="s">
        <v>26</v>
      </c>
      <c r="M56" s="2">
        <v>8139</v>
      </c>
      <c r="N56" s="2">
        <v>8180.3</v>
      </c>
      <c r="O56" s="2">
        <v>8298.1</v>
      </c>
      <c r="P56" s="2">
        <v>8771.6</v>
      </c>
      <c r="Q56" s="2">
        <v>8856.7999999999993</v>
      </c>
      <c r="R56" s="2">
        <v>8959.9</v>
      </c>
    </row>
    <row r="57" spans="2:20" x14ac:dyDescent="0.2">
      <c r="B57" s="2" t="s">
        <v>33</v>
      </c>
      <c r="M57" s="2">
        <v>6129</v>
      </c>
      <c r="N57" s="2">
        <v>6058.4</v>
      </c>
      <c r="O57" s="2">
        <v>6011</v>
      </c>
      <c r="P57" s="2">
        <v>5963.6</v>
      </c>
      <c r="Q57" s="2">
        <v>5941.1</v>
      </c>
      <c r="R57" s="2">
        <v>5871.3</v>
      </c>
    </row>
    <row r="58" spans="2:20" x14ac:dyDescent="0.2">
      <c r="B58" s="2" t="s">
        <v>6</v>
      </c>
      <c r="M58" s="2">
        <v>560.20000000000005</v>
      </c>
      <c r="N58" s="2">
        <v>490.3</v>
      </c>
      <c r="O58" s="2">
        <v>539.20000000000005</v>
      </c>
      <c r="P58" s="2">
        <v>656.2</v>
      </c>
      <c r="Q58" s="2">
        <v>522.29999999999995</v>
      </c>
      <c r="R58" s="2">
        <v>664</v>
      </c>
    </row>
    <row r="59" spans="2:20" s="8" customFormat="1" x14ac:dyDescent="0.2">
      <c r="B59" s="8" t="s">
        <v>34</v>
      </c>
      <c r="M59" s="8">
        <f>+SUM(M50:M58)</f>
        <v>37788.599999999991</v>
      </c>
      <c r="N59" s="8">
        <f>+SUM(N50:N58)</f>
        <v>37805.4</v>
      </c>
      <c r="O59" s="8">
        <f>+SUM(O50:O58)</f>
        <v>38049.199999999997</v>
      </c>
      <c r="P59" s="8">
        <f>+SUM(P50:P58)</f>
        <v>38780.899999999994</v>
      </c>
      <c r="Q59" s="8">
        <f>+SUM(Q50:Q58)</f>
        <v>39357.700000000004</v>
      </c>
      <c r="R59" s="8">
        <f>+SUM(R50:R58)</f>
        <v>39248.5</v>
      </c>
      <c r="S59" s="22"/>
      <c r="T59" s="22"/>
    </row>
    <row r="60" spans="2:20" x14ac:dyDescent="0.2">
      <c r="B60" s="2" t="s">
        <v>35</v>
      </c>
      <c r="M60" s="2">
        <f>+M49-M59</f>
        <v>-8608.8999999999942</v>
      </c>
      <c r="N60" s="2">
        <f>+N49-N59</f>
        <v>-8442.2000000000007</v>
      </c>
      <c r="O60" s="2">
        <f>+O49-O59</f>
        <v>-7937.3999999999978</v>
      </c>
      <c r="P60" s="2">
        <f>+P49-P59</f>
        <v>-7441.5999999999949</v>
      </c>
      <c r="Q60" s="2">
        <f>+Q49-Q59</f>
        <v>-7464.6000000000022</v>
      </c>
      <c r="R60" s="2">
        <f>+R49-R59</f>
        <v>-7615.3999999999978</v>
      </c>
    </row>
    <row r="61" spans="2:20" x14ac:dyDescent="0.2">
      <c r="B61" s="2" t="s">
        <v>36</v>
      </c>
      <c r="M61" s="2">
        <f>+M60+M59</f>
        <v>29179.699999999997</v>
      </c>
      <c r="N61" s="2">
        <f>+N60+N59</f>
        <v>29363.200000000001</v>
      </c>
      <c r="O61" s="2">
        <f>+O60+O59</f>
        <v>30111.8</v>
      </c>
      <c r="P61" s="2">
        <f>+P60+P59</f>
        <v>31339.3</v>
      </c>
      <c r="Q61" s="2">
        <f>+Q60+Q59</f>
        <v>31893.100000000002</v>
      </c>
      <c r="R61" s="2">
        <f>+R60+R59</f>
        <v>31633.100000000002</v>
      </c>
    </row>
    <row r="62" spans="2:20" x14ac:dyDescent="0.2">
      <c r="Q62" s="2"/>
      <c r="R62" s="2"/>
    </row>
    <row r="63" spans="2:20" x14ac:dyDescent="0.2">
      <c r="B63" s="2" t="s">
        <v>64</v>
      </c>
      <c r="M63" s="2">
        <f>+SUM(J29:M29)</f>
        <v>5322.9000000000005</v>
      </c>
      <c r="N63" s="2">
        <f>+SUM(K29:N29)</f>
        <v>5283</v>
      </c>
      <c r="O63" s="2">
        <f>+SUM(L29:O29)</f>
        <v>5223.7000000000007</v>
      </c>
      <c r="P63" s="2">
        <f>+SUM(M29:P29)</f>
        <v>4973.5999999999985</v>
      </c>
      <c r="Q63" s="2">
        <f>+SUM(N29:Q29)</f>
        <v>4781.7999999999993</v>
      </c>
      <c r="R63" s="2">
        <f>+SUM(O29:R29)</f>
        <v>4565.4999999999991</v>
      </c>
    </row>
    <row r="64" spans="2:20" s="6" customFormat="1" x14ac:dyDescent="0.2">
      <c r="B64" s="6" t="s">
        <v>65</v>
      </c>
      <c r="M64" s="6">
        <f>+M63/(M41+M42+M43+M44+M45+M46+M47)</f>
        <v>0.24487852453661746</v>
      </c>
      <c r="N64" s="6">
        <f>+N63/(N41+N42+N43+N44+N45+N46+N47)</f>
        <v>0.23823051948051949</v>
      </c>
      <c r="O64" s="6">
        <f>+O63/(O41+O42+O43+O44+O45+O46+O47)</f>
        <v>0.23011691526946901</v>
      </c>
      <c r="P64" s="6">
        <f>+P63/(P41+P42+P43+P44+P45+P46+P47)</f>
        <v>0.21039273084146931</v>
      </c>
      <c r="Q64" s="6">
        <f>+Q63/(Q41+Q42+Q43+Q44+Q45+Q46+Q47)</f>
        <v>0.20090836901125586</v>
      </c>
      <c r="R64" s="6">
        <f>+R63/(R41+R42+R43+R44+R45+R46+R47)</f>
        <v>0.18681588477197861</v>
      </c>
      <c r="S64" s="20"/>
      <c r="T64" s="20"/>
    </row>
    <row r="66" spans="2:36" x14ac:dyDescent="0.2">
      <c r="B66" s="2" t="s">
        <v>37</v>
      </c>
      <c r="I66" s="2">
        <f>+I29</f>
        <v>1130.3</v>
      </c>
      <c r="J66" s="2">
        <f>+J29</f>
        <v>1116.3</v>
      </c>
      <c r="K66" s="2">
        <f>+K29</f>
        <v>1421.5</v>
      </c>
      <c r="L66" s="2">
        <f>+L29</f>
        <v>1451.3000000000009</v>
      </c>
      <c r="M66" s="2">
        <f>+M29</f>
        <v>1333.7999999999993</v>
      </c>
      <c r="N66" s="2">
        <f>+N29</f>
        <v>1076.4000000000001</v>
      </c>
      <c r="O66" s="2">
        <f>+O29</f>
        <v>1362.1999999999998</v>
      </c>
      <c r="P66" s="2">
        <f>+P29</f>
        <v>1201.1999999999998</v>
      </c>
      <c r="Q66" s="2">
        <f>+Q29</f>
        <v>1141.9999999999991</v>
      </c>
      <c r="R66" s="2">
        <f>+R29</f>
        <v>860.1</v>
      </c>
      <c r="AE66" s="2">
        <f>+AE29</f>
        <v>4186.9000000000033</v>
      </c>
      <c r="AF66" s="2">
        <f>+AF29</f>
        <v>2312.1999999999971</v>
      </c>
      <c r="AG66" s="2">
        <f>+AG29</f>
        <v>4562.6000000000022</v>
      </c>
      <c r="AH66" s="2">
        <f>+AH29</f>
        <v>4543.2000000000025</v>
      </c>
      <c r="AI66" s="2">
        <f>+AI29</f>
        <v>5119.3999999999969</v>
      </c>
      <c r="AJ66" s="2">
        <f>+AJ29</f>
        <v>4973.5999999999985</v>
      </c>
    </row>
    <row r="67" spans="2:36" x14ac:dyDescent="0.2">
      <c r="B67" s="2" t="s">
        <v>38</v>
      </c>
      <c r="I67" s="2">
        <v>855.2</v>
      </c>
      <c r="J67" s="2">
        <f>1763.6-I67</f>
        <v>908.39999999999986</v>
      </c>
      <c r="K67" s="2">
        <f>2905.4-SUM(I67:J67)</f>
        <v>1141.8000000000002</v>
      </c>
      <c r="L67" s="2">
        <f>4124.7-SUM(I67:K67)</f>
        <v>1219.2999999999997</v>
      </c>
      <c r="M67" s="2">
        <v>1024.4000000000001</v>
      </c>
      <c r="N67" s="2">
        <f>1796.9-M67</f>
        <v>772.5</v>
      </c>
      <c r="O67" s="2">
        <f>2852.7-SUM(M67:N67)</f>
        <v>1055.7999999999997</v>
      </c>
      <c r="P67" s="2">
        <f>+AJ67-SUM(M67:O67)</f>
        <v>909.60000000000036</v>
      </c>
      <c r="Q67" s="2">
        <v>780.9</v>
      </c>
      <c r="R67" s="2">
        <f>1165.1-Q67</f>
        <v>384.19999999999993</v>
      </c>
      <c r="AE67" s="2">
        <v>3594.6</v>
      </c>
      <c r="AF67" s="2">
        <v>924.7</v>
      </c>
      <c r="AG67" s="2">
        <v>4200.3</v>
      </c>
      <c r="AH67" s="2">
        <v>3283.4</v>
      </c>
      <c r="AI67" s="2">
        <v>4124.7</v>
      </c>
      <c r="AJ67" s="2">
        <v>3762.3</v>
      </c>
    </row>
    <row r="68" spans="2:36" x14ac:dyDescent="0.2">
      <c r="B68" s="2" t="s">
        <v>39</v>
      </c>
      <c r="I68" s="2">
        <v>342.5</v>
      </c>
      <c r="J68" s="2">
        <f>709.3-I68</f>
        <v>366.79999999999995</v>
      </c>
      <c r="K68" s="2">
        <f>1073.8-SUM(I68:J68)</f>
        <v>364.5</v>
      </c>
      <c r="L68" s="2">
        <f>1450.3-SUM(I68:K68)</f>
        <v>376.5</v>
      </c>
      <c r="M68" s="2">
        <v>384.4</v>
      </c>
      <c r="N68" s="2">
        <f>783.6-M68</f>
        <v>399.20000000000005</v>
      </c>
      <c r="O68" s="2">
        <f>1191-SUM(M68:N68)</f>
        <v>407.4</v>
      </c>
      <c r="P68" s="2">
        <f t="shared" ref="P68:R85" si="96">+AJ68-SUM(M68:O68)</f>
        <v>401.40000000000009</v>
      </c>
      <c r="Q68" s="2">
        <v>432.2</v>
      </c>
      <c r="R68" s="2">
        <f>867.5-Q68</f>
        <v>435.3</v>
      </c>
      <c r="AE68" s="2">
        <v>1449.3</v>
      </c>
      <c r="AF68" s="2">
        <v>1503.2</v>
      </c>
      <c r="AG68" s="2">
        <v>1524.1</v>
      </c>
      <c r="AH68" s="2">
        <v>1529.4</v>
      </c>
      <c r="AI68" s="2">
        <v>1450.3</v>
      </c>
      <c r="AJ68" s="2">
        <v>1592.4</v>
      </c>
    </row>
    <row r="69" spans="2:36" x14ac:dyDescent="0.2">
      <c r="B69" s="2" t="s">
        <v>27</v>
      </c>
      <c r="I69" s="2">
        <v>15.8</v>
      </c>
      <c r="J69" s="2">
        <f>2.6-I69</f>
        <v>-13.200000000000001</v>
      </c>
      <c r="K69" s="2">
        <f>-30.2-SUM(I69:J69)</f>
        <v>-32.799999999999997</v>
      </c>
      <c r="L69" s="2">
        <f>-59.4-SUM(I69:K69)</f>
        <v>-29.200000000000003</v>
      </c>
      <c r="M69" s="2">
        <v>26.1</v>
      </c>
      <c r="N69" s="2">
        <f>4-M69</f>
        <v>-22.1</v>
      </c>
      <c r="O69" s="2">
        <f>16.6-SUM(M69:N69)</f>
        <v>12.600000000000001</v>
      </c>
      <c r="P69" s="2">
        <f t="shared" si="96"/>
        <v>-30.400000000000002</v>
      </c>
      <c r="Q69" s="2">
        <v>-14.9</v>
      </c>
      <c r="R69" s="2">
        <f>-12.4-Q69</f>
        <v>2.5</v>
      </c>
      <c r="AE69" s="2">
        <v>-1495.4</v>
      </c>
      <c r="AF69" s="2">
        <v>-25.8</v>
      </c>
      <c r="AG69" s="2">
        <v>-146.19999999999999</v>
      </c>
      <c r="AH69" s="2">
        <v>-37.799999999999997</v>
      </c>
      <c r="AI69" s="2">
        <v>-59.4</v>
      </c>
      <c r="AJ69" s="2">
        <v>-13.8</v>
      </c>
    </row>
    <row r="70" spans="2:36" x14ac:dyDescent="0.2">
      <c r="B70" s="2" t="s">
        <v>40</v>
      </c>
      <c r="I70" s="2">
        <f>-56.9+45.7</f>
        <v>-11.199999999999996</v>
      </c>
      <c r="J70" s="2">
        <f>-109.9+88-I70</f>
        <v>-10.70000000000001</v>
      </c>
      <c r="K70" s="2">
        <f>-182.7+146.6-SUM(I70:J70)</f>
        <v>-14.199999999999989</v>
      </c>
      <c r="L70" s="2">
        <f>-301.8+222.8-SUM(I70:K70)</f>
        <v>-42.900000000000006</v>
      </c>
      <c r="M70" s="2">
        <v>-59</v>
      </c>
      <c r="N70" s="2">
        <f>-132.3+154.5-M70</f>
        <v>81.199999999999989</v>
      </c>
      <c r="O70" s="2">
        <f>-201.5+220.5-SUM(M70:N70)</f>
        <v>-3.1999999999999886</v>
      </c>
      <c r="P70" s="2">
        <f t="shared" si="96"/>
        <v>7.9000000000000341</v>
      </c>
      <c r="Q70" s="2">
        <f>-53.1+81.9</f>
        <v>28.800000000000004</v>
      </c>
      <c r="R70" s="2">
        <f>-115.5+133.8-Q70</f>
        <v>-10.499999999999993</v>
      </c>
      <c r="AE70" s="2">
        <f>-250.6+216.8</f>
        <v>-33.799999999999983</v>
      </c>
      <c r="AF70" s="2">
        <f>-280.7+227.7</f>
        <v>-53</v>
      </c>
      <c r="AG70" s="2">
        <f>-347.3+336</f>
        <v>-11.300000000000011</v>
      </c>
      <c r="AH70" s="2">
        <f>-268.7+231.2</f>
        <v>-37.5</v>
      </c>
      <c r="AI70" s="2">
        <f>-301.8+222.8</f>
        <v>-79</v>
      </c>
      <c r="AJ70" s="2">
        <f>-306.4+333.3</f>
        <v>26.900000000000034</v>
      </c>
    </row>
    <row r="71" spans="2:36" x14ac:dyDescent="0.2">
      <c r="B71" s="2" t="s">
        <v>41</v>
      </c>
      <c r="I71" s="2">
        <v>0</v>
      </c>
      <c r="J71" s="2">
        <f>-91.3-I71</f>
        <v>-91.3</v>
      </c>
      <c r="K71" s="2">
        <f>-91.3-SUM(I71:J71)</f>
        <v>0</v>
      </c>
      <c r="L71" s="2">
        <f>-91.3-SUM(I71:K71)</f>
        <v>0</v>
      </c>
      <c r="M71" s="2">
        <v>105.2</v>
      </c>
      <c r="N71" s="2">
        <f>0-M71</f>
        <v>-105.2</v>
      </c>
      <c r="O71" s="2">
        <f>0-SUM(M71:N71)</f>
        <v>0</v>
      </c>
      <c r="P71" s="2">
        <f t="shared" si="96"/>
        <v>0</v>
      </c>
      <c r="Q71" s="2">
        <v>0</v>
      </c>
      <c r="R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-91.3</v>
      </c>
      <c r="AJ71" s="2">
        <v>0</v>
      </c>
    </row>
    <row r="72" spans="2:36" x14ac:dyDescent="0.2">
      <c r="B72" s="2" t="s">
        <v>68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AE72" s="2">
        <v>-622.79999999999995</v>
      </c>
      <c r="AF72" s="2">
        <v>0</v>
      </c>
      <c r="AG72" s="2">
        <v>-864.5</v>
      </c>
      <c r="AH72" s="2">
        <v>0</v>
      </c>
      <c r="AI72" s="2">
        <v>0</v>
      </c>
      <c r="AJ72" s="2">
        <v>0</v>
      </c>
    </row>
    <row r="73" spans="2:36" x14ac:dyDescent="0.2">
      <c r="B73" s="2" t="s">
        <v>42</v>
      </c>
      <c r="I73" s="2">
        <v>85.2</v>
      </c>
      <c r="J73" s="2">
        <f>159.3-I73</f>
        <v>74.100000000000009</v>
      </c>
      <c r="K73" s="2">
        <f>228.5-SUM(I73:J73)</f>
        <v>69.199999999999989</v>
      </c>
      <c r="L73" s="2">
        <f>302.7-SUM(I73:K73)</f>
        <v>74.199999999999989</v>
      </c>
      <c r="M73" s="2">
        <v>94.8</v>
      </c>
      <c r="N73" s="2">
        <f>173-M73</f>
        <v>78.2</v>
      </c>
      <c r="O73" s="2">
        <f>236.6-SUM(M73:N73)</f>
        <v>63.599999999999994</v>
      </c>
      <c r="P73" s="2">
        <f t="shared" si="96"/>
        <v>71.700000000000017</v>
      </c>
      <c r="Q73" s="2">
        <v>100.6</v>
      </c>
      <c r="R73" s="2">
        <f>178.3-Q73</f>
        <v>77.700000000000017</v>
      </c>
      <c r="AE73" s="2">
        <v>308</v>
      </c>
      <c r="AF73" s="2">
        <v>248.6</v>
      </c>
      <c r="AG73" s="2">
        <v>319.10000000000002</v>
      </c>
      <c r="AH73" s="2">
        <v>271.5</v>
      </c>
      <c r="AI73" s="2">
        <v>302.7</v>
      </c>
      <c r="AJ73" s="2">
        <v>308.3</v>
      </c>
    </row>
    <row r="74" spans="2:36" x14ac:dyDescent="0.2">
      <c r="B74" s="2" t="s">
        <v>69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f t="shared" si="96"/>
        <v>0</v>
      </c>
      <c r="Q74" s="2">
        <v>0</v>
      </c>
      <c r="R74" s="2">
        <v>0</v>
      </c>
      <c r="AE74" s="2">
        <v>10.5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</row>
    <row r="75" spans="2:36" x14ac:dyDescent="0.2">
      <c r="B75" s="2" t="s">
        <v>26</v>
      </c>
      <c r="I75" s="2">
        <v>263.7</v>
      </c>
      <c r="J75" s="2">
        <f>584.7-I75</f>
        <v>321.00000000000006</v>
      </c>
      <c r="K75" s="2">
        <f>998.4-SUM(I75:J75)</f>
        <v>413.69999999999993</v>
      </c>
      <c r="L75" s="2">
        <f>1365.9-SUM(I75:K75)</f>
        <v>367.50000000000011</v>
      </c>
      <c r="M75" s="2">
        <v>278</v>
      </c>
      <c r="N75" s="2">
        <f>689.5-M75</f>
        <v>411.5</v>
      </c>
      <c r="O75" s="2">
        <f>1082.6-SUM(M75:N75)</f>
        <v>393.09999999999991</v>
      </c>
      <c r="P75" s="2">
        <f t="shared" si="96"/>
        <v>232.30000000000018</v>
      </c>
      <c r="Q75" s="2">
        <v>493.7</v>
      </c>
      <c r="R75" s="2">
        <f>811.6-Q75</f>
        <v>317.90000000000003</v>
      </c>
      <c r="AE75" s="2">
        <v>0</v>
      </c>
      <c r="AF75" s="2">
        <v>1197.5999999999999</v>
      </c>
      <c r="AG75" s="2">
        <v>1248.5999999999999</v>
      </c>
      <c r="AH75" s="2">
        <v>1497.7</v>
      </c>
      <c r="AI75" s="2">
        <v>1365.9</v>
      </c>
      <c r="AJ75" s="2">
        <v>1314.9</v>
      </c>
    </row>
    <row r="76" spans="2:36" x14ac:dyDescent="0.2">
      <c r="B76" s="2" t="s">
        <v>63</v>
      </c>
      <c r="I76" s="2">
        <v>21.1</v>
      </c>
      <c r="J76" s="2">
        <f>75.6-I76</f>
        <v>54.499999999999993</v>
      </c>
      <c r="K76" s="2">
        <f>79.1-SUM(I76:J76)</f>
        <v>3.5</v>
      </c>
      <c r="L76" s="2">
        <f>101.4-SUM(I76:K76)</f>
        <v>22.300000000000011</v>
      </c>
      <c r="M76" s="2">
        <v>28.3</v>
      </c>
      <c r="N76" s="2">
        <f>42.5-M76</f>
        <v>14.2</v>
      </c>
      <c r="O76" s="2">
        <f>62.9-SUM(M76:N76)</f>
        <v>20.399999999999999</v>
      </c>
      <c r="P76" s="2">
        <f t="shared" si="96"/>
        <v>58.6</v>
      </c>
      <c r="Q76" s="2">
        <v>40.9</v>
      </c>
      <c r="R76" s="2">
        <f>82.1-Q76</f>
        <v>41.199999999999996</v>
      </c>
      <c r="AE76" s="2">
        <v>142.6</v>
      </c>
      <c r="AF76" s="2">
        <v>454.4</v>
      </c>
      <c r="AG76" s="2">
        <v>226.2</v>
      </c>
      <c r="AH76" s="2">
        <v>91.4</v>
      </c>
      <c r="AI76" s="2">
        <v>101.4</v>
      </c>
      <c r="AJ76" s="2">
        <v>121.5</v>
      </c>
    </row>
    <row r="77" spans="2:36" x14ac:dyDescent="0.2">
      <c r="B77" s="2" t="s">
        <v>6</v>
      </c>
      <c r="I77" s="2">
        <v>6.7</v>
      </c>
      <c r="J77" s="2">
        <f>22.6-I77</f>
        <v>15.900000000000002</v>
      </c>
      <c r="K77" s="2">
        <f>22.8-SUM(I77:J77)</f>
        <v>0.19999999999999929</v>
      </c>
      <c r="L77" s="2">
        <f>26.8-SUM(I77:K77)</f>
        <v>4</v>
      </c>
      <c r="M77" s="2">
        <v>17.8</v>
      </c>
      <c r="N77" s="2">
        <f>16.3-M77</f>
        <v>-1.5</v>
      </c>
      <c r="O77" s="2">
        <f>20.2-SUM(M77:N77)</f>
        <v>3.8999999999999986</v>
      </c>
      <c r="P77" s="2">
        <f t="shared" si="96"/>
        <v>11.7</v>
      </c>
      <c r="Q77" s="2">
        <v>-7</v>
      </c>
      <c r="R77" s="2">
        <f>3.4-Q77</f>
        <v>10.4</v>
      </c>
      <c r="AE77" s="2">
        <v>45.3</v>
      </c>
      <c r="AF77" s="2">
        <v>24.5</v>
      </c>
      <c r="AG77" s="2">
        <v>-6</v>
      </c>
      <c r="AH77" s="2">
        <v>-67.8</v>
      </c>
      <c r="AI77" s="2">
        <v>26.8</v>
      </c>
      <c r="AJ77" s="2">
        <v>31.9</v>
      </c>
    </row>
    <row r="78" spans="2:36" x14ac:dyDescent="0.2">
      <c r="B78" s="2" t="s">
        <v>22</v>
      </c>
      <c r="I78" s="2">
        <v>42</v>
      </c>
      <c r="J78" s="2">
        <f>26.2-I78</f>
        <v>-15.8</v>
      </c>
      <c r="K78" s="2">
        <f>44.3-SUM(I78:J78)</f>
        <v>18.099999999999998</v>
      </c>
      <c r="L78" s="2">
        <f>-4.1-SUM(I78:K78)</f>
        <v>-48.4</v>
      </c>
      <c r="M78" s="2">
        <v>42.3</v>
      </c>
      <c r="N78" s="2">
        <f>86.4-M78</f>
        <v>44.100000000000009</v>
      </c>
      <c r="O78" s="2">
        <f>44.7-SUM(M78:N78)</f>
        <v>-41.7</v>
      </c>
      <c r="P78" s="2">
        <f t="shared" si="96"/>
        <v>-26.300000000000004</v>
      </c>
      <c r="Q78" s="2">
        <v>-75.8</v>
      </c>
      <c r="R78" s="2">
        <f>17-Q78</f>
        <v>92.8</v>
      </c>
      <c r="AE78" s="2">
        <v>-197.7</v>
      </c>
      <c r="AF78" s="2">
        <v>-2.7</v>
      </c>
      <c r="AG78" s="2">
        <v>-43</v>
      </c>
      <c r="AH78" s="2">
        <v>-326.10000000000002</v>
      </c>
      <c r="AI78" s="2">
        <v>-4.0999999999999996</v>
      </c>
      <c r="AJ78" s="2">
        <v>18.399999999999999</v>
      </c>
    </row>
    <row r="79" spans="2:36" x14ac:dyDescent="0.2">
      <c r="B79" s="2" t="s">
        <v>43</v>
      </c>
      <c r="I79" s="2">
        <v>108.5</v>
      </c>
      <c r="J79" s="2">
        <f>194.6-I79</f>
        <v>86.1</v>
      </c>
      <c r="K79" s="2">
        <f>194.5-SUM(I79:J79)</f>
        <v>-9.9999999999994316E-2</v>
      </c>
      <c r="L79" s="2">
        <f>366.4-SUM(I79:K79)</f>
        <v>171.89999999999998</v>
      </c>
      <c r="M79" s="2">
        <v>174.3</v>
      </c>
      <c r="N79" s="2">
        <f>64.5-M79</f>
        <v>-109.80000000000001</v>
      </c>
      <c r="O79" s="2">
        <f>-53.4-SUM(M79:N79)</f>
        <v>-117.9</v>
      </c>
      <c r="P79" s="2">
        <f t="shared" si="96"/>
        <v>96.2</v>
      </c>
      <c r="Q79" s="2">
        <v>25.1</v>
      </c>
      <c r="R79" s="2">
        <f>-281-Q79</f>
        <v>-306.10000000000002</v>
      </c>
      <c r="AE79" s="2">
        <v>-173</v>
      </c>
      <c r="AF79" s="2">
        <v>-10.9</v>
      </c>
      <c r="AG79" s="2">
        <v>-49.8</v>
      </c>
      <c r="AH79" s="2">
        <v>-641</v>
      </c>
      <c r="AI79" s="2">
        <v>366.4</v>
      </c>
      <c r="AJ79" s="2">
        <v>42.8</v>
      </c>
    </row>
    <row r="80" spans="2:36" x14ac:dyDescent="0.2">
      <c r="B80" s="2" t="s">
        <v>24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f t="shared" si="96"/>
        <v>0</v>
      </c>
      <c r="Q80" s="2">
        <f t="shared" si="96"/>
        <v>0</v>
      </c>
      <c r="R80" s="2">
        <v>0</v>
      </c>
      <c r="AE80" s="2">
        <v>922</v>
      </c>
      <c r="AF80" s="2">
        <v>-317.5</v>
      </c>
      <c r="AG80" s="2">
        <v>251.1</v>
      </c>
      <c r="AH80" s="2">
        <v>0</v>
      </c>
      <c r="AI80" s="2">
        <v>0</v>
      </c>
      <c r="AJ80" s="2">
        <v>0</v>
      </c>
    </row>
    <row r="81" spans="2:36" x14ac:dyDescent="0.2">
      <c r="B81" s="2" t="s">
        <v>44</v>
      </c>
      <c r="I81" s="2">
        <v>0</v>
      </c>
      <c r="J81" s="2">
        <v>0</v>
      </c>
      <c r="K81" s="2">
        <v>0</v>
      </c>
      <c r="L81" s="2">
        <f>52.5-SUM(I81:K81)</f>
        <v>52.5</v>
      </c>
      <c r="M81" s="2">
        <v>189.6</v>
      </c>
      <c r="N81" s="2">
        <f>-84.9-M81</f>
        <v>-274.5</v>
      </c>
      <c r="O81" s="2">
        <f>-50.7-SUM(M81:N81)</f>
        <v>34.200000000000003</v>
      </c>
      <c r="P81" s="2">
        <f t="shared" si="96"/>
        <v>-11.199999999999996</v>
      </c>
      <c r="Q81" s="2">
        <v>104.9</v>
      </c>
      <c r="R81" s="2">
        <f>6.4-Q81</f>
        <v>-98.5</v>
      </c>
      <c r="AE81" s="2">
        <v>1237.0999999999999</v>
      </c>
      <c r="AF81" s="2">
        <v>-1214.5999999999999</v>
      </c>
      <c r="AG81" s="2">
        <v>286.10000000000002</v>
      </c>
      <c r="AH81" s="2">
        <v>-149.6</v>
      </c>
      <c r="AI81" s="2">
        <v>52.5</v>
      </c>
      <c r="AJ81" s="2">
        <v>-61.9</v>
      </c>
    </row>
    <row r="82" spans="2:36" x14ac:dyDescent="0.2">
      <c r="B82" s="2" t="s">
        <v>30</v>
      </c>
      <c r="I82" s="2">
        <v>-117.3</v>
      </c>
      <c r="J82" s="2">
        <f>-51.2-I82</f>
        <v>66.099999999999994</v>
      </c>
      <c r="K82" s="2">
        <f>47.3-SUM(I82:J82)</f>
        <v>98.5</v>
      </c>
      <c r="L82" s="2">
        <f>100.1-SUM(I82:K82)</f>
        <v>52.8</v>
      </c>
      <c r="M82" s="2">
        <v>-95.8</v>
      </c>
      <c r="N82" s="2">
        <f>-51.6-M82</f>
        <v>44.199999999999996</v>
      </c>
      <c r="O82" s="2">
        <f>61.7-SUM(M82:N82)</f>
        <v>113.30000000000001</v>
      </c>
      <c r="P82" s="2">
        <f t="shared" si="96"/>
        <v>-33.70000000000001</v>
      </c>
      <c r="Q82" s="2">
        <v>230.2</v>
      </c>
      <c r="R82" s="2">
        <f>339.4-Q82</f>
        <v>109.19999999999999</v>
      </c>
      <c r="AE82" s="2">
        <v>31.9</v>
      </c>
      <c r="AF82" s="2">
        <v>-210.8</v>
      </c>
      <c r="AG82" s="2">
        <v>189.9</v>
      </c>
      <c r="AH82" s="2">
        <v>345.5</v>
      </c>
      <c r="AI82" s="2">
        <v>100.1</v>
      </c>
      <c r="AJ82" s="2">
        <v>28</v>
      </c>
    </row>
    <row r="83" spans="2:36" x14ac:dyDescent="0.2">
      <c r="B83" s="2" t="s">
        <v>33</v>
      </c>
      <c r="I83" s="2">
        <v>461</v>
      </c>
      <c r="J83" s="2">
        <f>54-I83</f>
        <v>-407</v>
      </c>
      <c r="K83" s="2">
        <f>-8.2-SUM(I83:J83)</f>
        <v>-62.2</v>
      </c>
      <c r="L83" s="2">
        <f>-110.8-SUM(I83:K83)</f>
        <v>-102.6</v>
      </c>
      <c r="M83" s="2">
        <v>508.5</v>
      </c>
      <c r="N83" s="2">
        <f>128.9-M83</f>
        <v>-379.6</v>
      </c>
      <c r="O83" s="2">
        <f>51.6-SUM(M83:N83)</f>
        <v>-77.299999999999983</v>
      </c>
      <c r="P83" s="2">
        <f t="shared" si="96"/>
        <v>-123.8</v>
      </c>
      <c r="Q83" s="2">
        <v>480.9</v>
      </c>
      <c r="R83" s="2">
        <f>65.4-Q83</f>
        <v>-415.5</v>
      </c>
      <c r="AE83" s="2">
        <v>-30.5</v>
      </c>
      <c r="AF83" s="2">
        <v>31</v>
      </c>
      <c r="AG83" s="2">
        <v>-6.1</v>
      </c>
      <c r="AH83" s="2">
        <v>-75.8</v>
      </c>
      <c r="AI83" s="2">
        <v>-110.8</v>
      </c>
      <c r="AJ83" s="2">
        <v>-72.2</v>
      </c>
    </row>
    <row r="84" spans="2:36" x14ac:dyDescent="0.2">
      <c r="B84" s="2" t="s">
        <v>26</v>
      </c>
      <c r="I84" s="2">
        <v>-281.39999999999998</v>
      </c>
      <c r="J84" s="2">
        <f>-621.8-I84</f>
        <v>-340.4</v>
      </c>
      <c r="K84" s="2">
        <f>-1056.1-SUM(I84:J84)</f>
        <v>-434.29999999999995</v>
      </c>
      <c r="L84" s="2">
        <f>-1443.8-SUM(I84:K84)</f>
        <v>-387.70000000000005</v>
      </c>
      <c r="M84" s="2">
        <v>-290.5</v>
      </c>
      <c r="N84" s="2">
        <f>-635.1-M84</f>
        <v>-344.6</v>
      </c>
      <c r="O84" s="2">
        <f>-1049.7-SUM(M84:N84)</f>
        <v>-414.6</v>
      </c>
      <c r="P84" s="2">
        <f t="shared" si="96"/>
        <v>-245.20000000000005</v>
      </c>
      <c r="Q84" s="2">
        <v>-510.2</v>
      </c>
      <c r="R84" s="2">
        <f>-834.4-Q84</f>
        <v>-324.2</v>
      </c>
      <c r="AE84" s="2">
        <v>0</v>
      </c>
      <c r="AF84" s="2">
        <v>-1231.4000000000001</v>
      </c>
      <c r="AG84" s="2">
        <v>-1488.1</v>
      </c>
      <c r="AH84" s="2">
        <v>-1625.6</v>
      </c>
      <c r="AI84" s="2">
        <v>-1443.8</v>
      </c>
      <c r="AJ84" s="2">
        <v>-1294.9000000000001</v>
      </c>
    </row>
    <row r="85" spans="2:36" x14ac:dyDescent="0.2">
      <c r="B85" s="2" t="s">
        <v>6</v>
      </c>
      <c r="I85" s="2">
        <v>-198.6</v>
      </c>
      <c r="J85" s="2">
        <f>-445.5-I85</f>
        <v>-246.9</v>
      </c>
      <c r="K85" s="2">
        <f>-308.5-SUM(I85:J85)</f>
        <v>137</v>
      </c>
      <c r="L85" s="2">
        <f>-93.7-SUM(I85:K85)</f>
        <v>214.8</v>
      </c>
      <c r="M85" s="2">
        <v>-44.5</v>
      </c>
      <c r="N85" s="2">
        <f>-146.3-M85</f>
        <v>-101.80000000000001</v>
      </c>
      <c r="O85" s="2">
        <f>74.2-SUM(M85:N85)</f>
        <v>220.5</v>
      </c>
      <c r="P85" s="2">
        <f t="shared" si="96"/>
        <v>216.8</v>
      </c>
      <c r="Q85" s="2">
        <v>-38.299999999999997</v>
      </c>
      <c r="R85" s="2">
        <f>-62.7-Q85</f>
        <v>-24.400000000000006</v>
      </c>
      <c r="AE85" s="2">
        <v>-141.1</v>
      </c>
      <c r="AF85" s="2">
        <v>280.5</v>
      </c>
      <c r="AG85" s="2">
        <v>358.7</v>
      </c>
      <c r="AH85" s="2">
        <v>339.6</v>
      </c>
      <c r="AI85" s="2">
        <v>-93.7</v>
      </c>
      <c r="AJ85" s="2">
        <v>291</v>
      </c>
    </row>
    <row r="86" spans="2:36" x14ac:dyDescent="0.2">
      <c r="B86" s="2" t="s">
        <v>45</v>
      </c>
      <c r="I86" s="2">
        <f t="shared" ref="I86:K86" si="97">+SUM(I78:I85)</f>
        <v>14.200000000000017</v>
      </c>
      <c r="J86" s="2">
        <f t="shared" si="97"/>
        <v>-857.9</v>
      </c>
      <c r="K86" s="2">
        <f t="shared" si="97"/>
        <v>-242.99999999999994</v>
      </c>
      <c r="L86" s="2">
        <f>+SUM(L78:L85)</f>
        <v>-46.700000000000102</v>
      </c>
      <c r="M86" s="2">
        <f t="shared" ref="M86:O86" si="98">+SUM(M78:M85)</f>
        <v>483.90000000000009</v>
      </c>
      <c r="N86" s="2">
        <f t="shared" si="98"/>
        <v>-1122</v>
      </c>
      <c r="O86" s="2">
        <f t="shared" si="98"/>
        <v>-283.5</v>
      </c>
      <c r="P86" s="2">
        <f>+SUM(P78:P85)</f>
        <v>-127.20000000000005</v>
      </c>
      <c r="Q86" s="2">
        <f>+SUM(Q78:Q85)</f>
        <v>216.79999999999995</v>
      </c>
      <c r="R86" s="2">
        <f>+SUM(R78:R85)</f>
        <v>-966.69999999999993</v>
      </c>
      <c r="AE86" s="2">
        <f>+SUM(AE78:AE85)</f>
        <v>1648.7</v>
      </c>
      <c r="AF86" s="2">
        <f>+SUM(AF78:AF85)</f>
        <v>-2676.3999999999996</v>
      </c>
      <c r="AG86" s="2">
        <f>+SUM(AG78:AG85)</f>
        <v>-501.19999999999987</v>
      </c>
      <c r="AH86" s="2">
        <f>+SUM(AH78:AH85)</f>
        <v>-2133</v>
      </c>
      <c r="AI86" s="2">
        <f>+SUM(AI78:AI85)</f>
        <v>-1133.4000000000001</v>
      </c>
      <c r="AJ86" s="2">
        <f>+SUM(AJ78:AJ85)</f>
        <v>-1048.8000000000002</v>
      </c>
    </row>
    <row r="87" spans="2:36" s="8" customFormat="1" x14ac:dyDescent="0.2">
      <c r="B87" s="8" t="s">
        <v>46</v>
      </c>
      <c r="I87" s="8">
        <f t="shared" ref="I87:O87" si="99">+SUM(I67:I77)+I86</f>
        <v>1593.2</v>
      </c>
      <c r="J87" s="8">
        <f t="shared" si="99"/>
        <v>767.5999999999998</v>
      </c>
      <c r="K87" s="8">
        <f t="shared" si="99"/>
        <v>1702.9000000000003</v>
      </c>
      <c r="L87" s="8">
        <f t="shared" si="99"/>
        <v>1944.9999999999995</v>
      </c>
      <c r="M87" s="8">
        <f t="shared" si="99"/>
        <v>2383.9</v>
      </c>
      <c r="N87" s="8">
        <f t="shared" si="99"/>
        <v>506.00000000000023</v>
      </c>
      <c r="O87" s="8">
        <f t="shared" si="99"/>
        <v>1670.0999999999997</v>
      </c>
      <c r="P87" s="8">
        <f>+SUM(P67:P77)+P86</f>
        <v>1535.6000000000006</v>
      </c>
      <c r="Q87" s="8">
        <f>+SUM(Q67:Q77)+Q86</f>
        <v>2072</v>
      </c>
      <c r="R87" s="8">
        <f>+SUM(R67:R77)+R86</f>
        <v>292.00000000000034</v>
      </c>
      <c r="S87" s="22"/>
      <c r="T87" s="22"/>
      <c r="AE87" s="8">
        <f>+SUM(AE67:AE77)+AE86</f>
        <v>5047</v>
      </c>
      <c r="AF87" s="8">
        <f>+SUM(AF67:AF77)+AF86</f>
        <v>1597.8000000000002</v>
      </c>
      <c r="AG87" s="8">
        <f t="shared" ref="AG87:AI87" si="100">+SUM(AG67:AG77)+AG86</f>
        <v>5989.1</v>
      </c>
      <c r="AH87" s="8">
        <f t="shared" si="100"/>
        <v>4397.2999999999993</v>
      </c>
      <c r="AI87" s="8">
        <f t="shared" si="100"/>
        <v>6008.6999999999989</v>
      </c>
      <c r="AJ87" s="8">
        <f>+SUM(AJ67:AJ77)+AJ86</f>
        <v>6095.5999999999995</v>
      </c>
    </row>
    <row r="88" spans="2:36" x14ac:dyDescent="0.2">
      <c r="Q88" s="2"/>
      <c r="R88" s="2"/>
    </row>
    <row r="89" spans="2:36" x14ac:dyDescent="0.2">
      <c r="B89" s="2" t="s">
        <v>47</v>
      </c>
      <c r="I89" s="2">
        <f>-10.5+0.8+253.3</f>
        <v>243.60000000000002</v>
      </c>
      <c r="J89" s="2">
        <f>-247.7+1.9+270-I89</f>
        <v>-219.4</v>
      </c>
      <c r="K89" s="2">
        <f>-357.1+2+515-SUM(I89:J89)</f>
        <v>135.69999999999996</v>
      </c>
      <c r="L89" s="2">
        <f>-610.5+2.5+616.9-SUM(I89:K89)</f>
        <v>-151</v>
      </c>
      <c r="M89" s="2">
        <f>-217.1+253.5</f>
        <v>36.400000000000006</v>
      </c>
      <c r="N89" s="2">
        <f>-472+0.5+498.7-M89</f>
        <v>-9.2000000000000171</v>
      </c>
      <c r="O89" s="2">
        <f>-545.6+0.5+731.8-SUM(M89:N89)</f>
        <v>159.49999999999994</v>
      </c>
      <c r="P89" s="2">
        <f t="shared" ref="P89:Q92" si="101">+AJ89-SUM(M89:O89)</f>
        <v>-35.699999999999932</v>
      </c>
      <c r="Q89" s="2">
        <f>-66.3+87.6</f>
        <v>21.299999999999997</v>
      </c>
      <c r="R89" s="2">
        <f>-169.4+141-Q89</f>
        <v>-49.7</v>
      </c>
      <c r="AJ89" s="2">
        <f>-627.5+10.3+768.2</f>
        <v>151</v>
      </c>
    </row>
    <row r="90" spans="2:36" s="8" customFormat="1" x14ac:dyDescent="0.2">
      <c r="B90" s="8" t="s">
        <v>48</v>
      </c>
      <c r="I90" s="8">
        <v>-516.79999999999995</v>
      </c>
      <c r="J90" s="8">
        <f>-1002+110-I90</f>
        <v>-375.20000000000005</v>
      </c>
      <c r="K90" s="8">
        <f>-1634.1-SUM(I90:J90)</f>
        <v>-742.09999999999991</v>
      </c>
      <c r="L90" s="8">
        <f>-2333.6-SUM(I90:K90)</f>
        <v>-699.5</v>
      </c>
      <c r="M90" s="8">
        <v>-595.9</v>
      </c>
      <c r="N90" s="8">
        <f>-1255-M90</f>
        <v>-659.1</v>
      </c>
      <c r="O90" s="8">
        <f>-1979.3-SUM(M90:N90)</f>
        <v>-724.3</v>
      </c>
      <c r="P90" s="8">
        <f t="shared" si="101"/>
        <v>-798.2</v>
      </c>
      <c r="Q90" s="8">
        <v>-692.9</v>
      </c>
      <c r="R90" s="8">
        <f>-1282.1-Q90</f>
        <v>-589.19999999999993</v>
      </c>
      <c r="S90" s="22"/>
      <c r="T90" s="22"/>
      <c r="AE90" s="8">
        <v>-1806.6</v>
      </c>
      <c r="AF90" s="8">
        <v>-1483.6</v>
      </c>
      <c r="AG90" s="8">
        <v>-1470</v>
      </c>
      <c r="AH90" s="8">
        <v>-1841.3</v>
      </c>
      <c r="AI90" s="8">
        <v>-2333.6</v>
      </c>
      <c r="AJ90" s="8">
        <v>-2777.5</v>
      </c>
    </row>
    <row r="91" spans="2:36" x14ac:dyDescent="0.2">
      <c r="B91" s="2" t="s">
        <v>110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-177.1</v>
      </c>
      <c r="R91" s="2">
        <f>-177.1-Q91</f>
        <v>0</v>
      </c>
    </row>
    <row r="92" spans="2:36" x14ac:dyDescent="0.2">
      <c r="B92" s="2" t="s">
        <v>6</v>
      </c>
      <c r="I92" s="2">
        <v>-6.1</v>
      </c>
      <c r="J92" s="2">
        <f>-39.2-I92</f>
        <v>-33.1</v>
      </c>
      <c r="K92" s="2">
        <f>-42-SUM(I92:J92)</f>
        <v>-2.7999999999999972</v>
      </c>
      <c r="L92" s="2">
        <f>-56.1-SUM(I92:K92)</f>
        <v>-14.100000000000001</v>
      </c>
      <c r="M92" s="2">
        <v>-9.3000000000000007</v>
      </c>
      <c r="N92" s="2">
        <f>-36.2-M92</f>
        <v>-26.900000000000002</v>
      </c>
      <c r="O92" s="2">
        <f>-56.9-SUM(M92:N92)</f>
        <v>-20.699999999999996</v>
      </c>
      <c r="P92" s="2">
        <f t="shared" si="101"/>
        <v>-15.800000000000004</v>
      </c>
      <c r="Q92" s="2">
        <v>-6.5</v>
      </c>
      <c r="R92" s="2">
        <f>-11.6-Q92</f>
        <v>-5.0999999999999996</v>
      </c>
      <c r="AJ92" s="2">
        <v>-72.7</v>
      </c>
    </row>
    <row r="93" spans="2:36" x14ac:dyDescent="0.2">
      <c r="B93" s="2" t="s">
        <v>49</v>
      </c>
      <c r="I93" s="2">
        <f>+SUM(I89:I92)</f>
        <v>-279.29999999999995</v>
      </c>
      <c r="J93" s="2">
        <f>+SUM(J89:J92)</f>
        <v>-627.70000000000005</v>
      </c>
      <c r="K93" s="2">
        <f>+SUM(K89:K92)</f>
        <v>-609.19999999999993</v>
      </c>
      <c r="L93" s="2">
        <f>+SUM(L89:L92)</f>
        <v>-864.6</v>
      </c>
      <c r="M93" s="2">
        <f>+SUM(M89:M92)</f>
        <v>-568.79999999999995</v>
      </c>
      <c r="N93" s="2">
        <f>+SUM(N89:N92)</f>
        <v>-695.2</v>
      </c>
      <c r="O93" s="2">
        <f>+SUM(O89:O92)</f>
        <v>-585.5</v>
      </c>
      <c r="P93" s="2">
        <f>+SUM(P89:P92)</f>
        <v>-849.69999999999993</v>
      </c>
      <c r="Q93" s="2">
        <f>+SUM(Q89:Q92)</f>
        <v>-855.2</v>
      </c>
      <c r="R93" s="2">
        <f>+SUM(R89:R92)</f>
        <v>-644</v>
      </c>
      <c r="AJ93" s="2">
        <f>+SUM(AJ89:AJ92)</f>
        <v>-2699.2</v>
      </c>
    </row>
    <row r="94" spans="2:36" x14ac:dyDescent="0.2">
      <c r="Q94" s="2"/>
      <c r="R94" s="2"/>
    </row>
    <row r="95" spans="2:36" x14ac:dyDescent="0.2">
      <c r="B95" s="2" t="s">
        <v>4</v>
      </c>
      <c r="I95" s="2">
        <v>-175</v>
      </c>
      <c r="J95" s="2">
        <f>-175+52.8+1497.8-1000-I95</f>
        <v>550.59999999999991</v>
      </c>
      <c r="K95" s="2">
        <f>-175+83.7-46.7+1497.8-1000-SUM(I95:J95)</f>
        <v>-15.799999999999955</v>
      </c>
      <c r="L95" s="2">
        <f>-175+114.6-78.8+1497.8-1000-SUM(I95:K95)</f>
        <v>-1.2000000000000455</v>
      </c>
      <c r="M95" s="2">
        <f>300+49.1-33.8-750</f>
        <v>-434.7</v>
      </c>
      <c r="N95" s="2">
        <f>93.2-80.5+1995.3-1825.1-M95</f>
        <v>617.60000000000014</v>
      </c>
      <c r="O95" s="2">
        <f>118.3-127+1995.3-1825.1-SUM(M95:N95)</f>
        <v>-21.400000000000148</v>
      </c>
      <c r="P95" s="2">
        <f t="shared" ref="P95:Q100" si="102">+AJ95-SUM(M95:O95)</f>
        <v>-25</v>
      </c>
      <c r="Q95" s="2">
        <v>-5.4</v>
      </c>
      <c r="R95" s="2">
        <f>1.1-5.4-Q95</f>
        <v>1.0999999999999996</v>
      </c>
      <c r="AJ95" s="2">
        <f>123.8-157.5+1995.3-1825.1</f>
        <v>136.5</v>
      </c>
    </row>
    <row r="96" spans="2:36" x14ac:dyDescent="0.2">
      <c r="B96" s="2" t="s">
        <v>52</v>
      </c>
      <c r="I96" s="2">
        <v>45.9</v>
      </c>
      <c r="J96" s="2">
        <f>129.8-I96</f>
        <v>83.9</v>
      </c>
      <c r="K96" s="2">
        <f>149.4-SUM(I96:J96)</f>
        <v>19.599999999999994</v>
      </c>
      <c r="L96" s="2">
        <f>167.4-SUM(I96:K96)</f>
        <v>18</v>
      </c>
      <c r="M96" s="2">
        <v>32.299999999999997</v>
      </c>
      <c r="N96" s="2">
        <f>58.4-M96</f>
        <v>26.1</v>
      </c>
      <c r="O96" s="2">
        <f>79.2-SUM(M96:N96)</f>
        <v>20.800000000000004</v>
      </c>
      <c r="P96" s="2">
        <f t="shared" si="102"/>
        <v>28.799999999999997</v>
      </c>
      <c r="Q96" s="2">
        <v>17.100000000000001</v>
      </c>
      <c r="R96" s="2">
        <f>44.4-Q96</f>
        <v>27.299999999999997</v>
      </c>
      <c r="AJ96" s="2">
        <v>108</v>
      </c>
    </row>
    <row r="97" spans="2:36" x14ac:dyDescent="0.2">
      <c r="B97" s="2" t="s">
        <v>50</v>
      </c>
      <c r="I97" s="2">
        <v>-608.29999999999995</v>
      </c>
      <c r="J97" s="2">
        <f>-1217.4-I97</f>
        <v>-609.10000000000014</v>
      </c>
      <c r="K97" s="2">
        <f>-1824.8-SUM(I97:J97)</f>
        <v>-607.39999999999986</v>
      </c>
      <c r="L97" s="2">
        <f>-2431.8-SUM(I97:K97)</f>
        <v>-607.00000000000023</v>
      </c>
      <c r="M97" s="2">
        <v>-648.1</v>
      </c>
      <c r="N97" s="2">
        <f>-1293.5-M97</f>
        <v>-645.4</v>
      </c>
      <c r="O97" s="2">
        <f>-1939-SUM(M97:N97)</f>
        <v>-645.5</v>
      </c>
      <c r="P97" s="2">
        <f t="shared" si="102"/>
        <v>-646</v>
      </c>
      <c r="Q97" s="2">
        <v>-691.9</v>
      </c>
      <c r="R97" s="2">
        <f>-1384.9-Q97</f>
        <v>-693.00000000000011</v>
      </c>
      <c r="AE97" s="2">
        <v>-1761.3</v>
      </c>
      <c r="AF97" s="2">
        <v>-1923.5</v>
      </c>
      <c r="AG97" s="2">
        <v>-2119</v>
      </c>
      <c r="AH97" s="2">
        <v>-2263.3000000000002</v>
      </c>
      <c r="AI97" s="2">
        <v>-2431.8000000000002</v>
      </c>
      <c r="AJ97" s="2">
        <v>-2585</v>
      </c>
    </row>
    <row r="98" spans="2:36" x14ac:dyDescent="0.2">
      <c r="B98" s="2" t="s">
        <v>53</v>
      </c>
      <c r="I98" s="2">
        <v>-191.4</v>
      </c>
      <c r="J98" s="2">
        <f>-479.3-I98</f>
        <v>-287.89999999999998</v>
      </c>
      <c r="K98" s="2">
        <f>-699.3-SUM(I98:J98)</f>
        <v>-220</v>
      </c>
      <c r="L98" s="2">
        <f>-984.4-SUM(I98:K98)</f>
        <v>-285.10000000000002</v>
      </c>
      <c r="M98" s="2">
        <v>-1266.7</v>
      </c>
      <c r="N98" s="2">
        <f>-1266.7-M98</f>
        <v>0</v>
      </c>
      <c r="O98" s="2">
        <f>-1266.7-SUM(M98:N98)</f>
        <v>0</v>
      </c>
      <c r="P98" s="2">
        <f t="shared" si="102"/>
        <v>0</v>
      </c>
      <c r="Q98" s="2">
        <v>0</v>
      </c>
      <c r="R98" s="2">
        <v>0</v>
      </c>
      <c r="AE98" s="2">
        <v>-10222.299999999999</v>
      </c>
      <c r="AF98" s="2">
        <v>-1698.9</v>
      </c>
      <c r="AG98" s="2">
        <v>0</v>
      </c>
      <c r="AH98" s="2">
        <v>-4013</v>
      </c>
      <c r="AI98" s="2">
        <v>-984.4</v>
      </c>
      <c r="AJ98" s="2">
        <v>-1266.7</v>
      </c>
    </row>
    <row r="99" spans="2:36" x14ac:dyDescent="0.2">
      <c r="B99" s="2" t="s">
        <v>51</v>
      </c>
      <c r="I99" s="2">
        <v>-79</v>
      </c>
      <c r="J99" s="2">
        <f>-81.4-I99</f>
        <v>-2.4000000000000057</v>
      </c>
      <c r="K99" s="2">
        <f>-87-SUM(I99:J99)</f>
        <v>-5.5999999999999943</v>
      </c>
      <c r="L99" s="2">
        <f>-89.3-SUM(I99:K99)</f>
        <v>-2.2999999999999972</v>
      </c>
      <c r="M99" s="2">
        <v>-92.1</v>
      </c>
      <c r="N99" s="2">
        <f>-94.1-M99</f>
        <v>-2</v>
      </c>
      <c r="O99" s="2">
        <f>-98.1-SUM(M99:N99)</f>
        <v>-4</v>
      </c>
      <c r="P99" s="2">
        <f t="shared" si="102"/>
        <v>-2.3000000000000114</v>
      </c>
      <c r="Q99" s="2">
        <v>-74.599999999999994</v>
      </c>
      <c r="R99" s="2">
        <f>-76.5-Q99</f>
        <v>-1.9000000000000057</v>
      </c>
      <c r="AJ99" s="2">
        <v>-100.4</v>
      </c>
    </row>
    <row r="100" spans="2:36" x14ac:dyDescent="0.2">
      <c r="B100" s="2" t="s">
        <v>6</v>
      </c>
      <c r="I100" s="2">
        <v>0</v>
      </c>
      <c r="J100" s="2">
        <f>-10.7-I100</f>
        <v>-10.7</v>
      </c>
      <c r="K100" s="2">
        <f>-11-SUM(I100:J100)</f>
        <v>-0.30000000000000071</v>
      </c>
      <c r="L100" s="2">
        <f>-11.1-SUM(I100:K100)</f>
        <v>-9.9999999999999645E-2</v>
      </c>
      <c r="M100" s="2">
        <v>0</v>
      </c>
      <c r="N100" s="2">
        <f>-10.6-M100</f>
        <v>-10.6</v>
      </c>
      <c r="O100" s="2">
        <f>-10.6-SUM(M100:N100)</f>
        <v>0</v>
      </c>
      <c r="P100" s="2">
        <f t="shared" si="102"/>
        <v>0</v>
      </c>
      <c r="Q100" s="2">
        <v>0</v>
      </c>
      <c r="R100" s="2">
        <v>0</v>
      </c>
      <c r="AJ100" s="2">
        <v>-10.6</v>
      </c>
    </row>
    <row r="101" spans="2:36" x14ac:dyDescent="0.2">
      <c r="B101" s="2" t="s">
        <v>54</v>
      </c>
      <c r="I101" s="2">
        <f t="shared" ref="I101:O101" si="103">+SUM(I95:I100)</f>
        <v>-1007.8</v>
      </c>
      <c r="J101" s="2">
        <f t="shared" si="103"/>
        <v>-275.60000000000019</v>
      </c>
      <c r="K101" s="2">
        <f t="shared" si="103"/>
        <v>-829.49999999999977</v>
      </c>
      <c r="L101" s="2">
        <f t="shared" si="103"/>
        <v>-877.70000000000027</v>
      </c>
      <c r="M101" s="2">
        <f t="shared" si="103"/>
        <v>-2409.2999999999997</v>
      </c>
      <c r="N101" s="2">
        <f t="shared" si="103"/>
        <v>-14.299999999999818</v>
      </c>
      <c r="O101" s="2">
        <f t="shared" si="103"/>
        <v>-650.10000000000014</v>
      </c>
      <c r="P101" s="2">
        <f t="shared" ref="P101:Q101" si="104">+SUM(P95:P100)</f>
        <v>-644.5</v>
      </c>
      <c r="Q101" s="2">
        <f t="shared" si="104"/>
        <v>-754.8</v>
      </c>
      <c r="R101" s="2">
        <f t="shared" ref="R101" si="105">+SUM(R95:R100)</f>
        <v>-666.50000000000011</v>
      </c>
      <c r="AJ101" s="2">
        <f>+SUM(AJ95:AJ100)</f>
        <v>-3718.2</v>
      </c>
    </row>
    <row r="102" spans="2:36" x14ac:dyDescent="0.2">
      <c r="Q102" s="2"/>
      <c r="R102" s="2"/>
    </row>
    <row r="103" spans="2:36" x14ac:dyDescent="0.2">
      <c r="B103" s="2" t="s">
        <v>55</v>
      </c>
      <c r="I103" s="2">
        <v>62</v>
      </c>
      <c r="J103" s="2">
        <f>83-I103</f>
        <v>21</v>
      </c>
      <c r="K103" s="2">
        <f>-6-SUM(I103:J103)</f>
        <v>-89</v>
      </c>
      <c r="L103" s="2">
        <f>-14.2-SUM(I103:K103)</f>
        <v>-8.1999999999999993</v>
      </c>
      <c r="M103" s="2">
        <v>43.1</v>
      </c>
      <c r="N103" s="2">
        <f>10.4-M103</f>
        <v>-32.700000000000003</v>
      </c>
      <c r="O103" s="2">
        <f>-9.2-SUM(M103:N103)</f>
        <v>-19.599999999999998</v>
      </c>
      <c r="P103" s="2">
        <f>-9.2-SUM(N103:O103)</f>
        <v>43.099999999999994</v>
      </c>
      <c r="Q103" s="2">
        <v>-76.8</v>
      </c>
      <c r="R103" s="2">
        <f>-58.3-Q103</f>
        <v>18.5</v>
      </c>
      <c r="AJ103" s="2">
        <v>56.5</v>
      </c>
    </row>
    <row r="104" spans="2:36" x14ac:dyDescent="0.2">
      <c r="B104" s="2" t="s">
        <v>56</v>
      </c>
      <c r="I104" s="2">
        <f>+I87+I93+I101+I103</f>
        <v>368.10000000000014</v>
      </c>
      <c r="J104" s="2">
        <f>+J87+J93+J101+J103</f>
        <v>-114.70000000000044</v>
      </c>
      <c r="K104" s="2">
        <f>+K87+K93+K101+K103</f>
        <v>175.2000000000005</v>
      </c>
      <c r="L104" s="2">
        <f>+L87+L93+L101+L103</f>
        <v>194.49999999999937</v>
      </c>
      <c r="M104" s="2">
        <f>+M87+M93+M101+M103</f>
        <v>-551.09999999999957</v>
      </c>
      <c r="N104" s="2">
        <f>+N87+N93+N101+N103</f>
        <v>-236.19999999999965</v>
      </c>
      <c r="O104" s="2">
        <f>+O87+O93+O101+O103</f>
        <v>414.89999999999952</v>
      </c>
      <c r="P104" s="2">
        <f>+P87+P93+P101+P103</f>
        <v>84.500000000000654</v>
      </c>
      <c r="Q104" s="2">
        <f>+Q87+Q93+Q101+Q103</f>
        <v>385.2</v>
      </c>
      <c r="R104" s="2">
        <f>+R87+R93+R101+R103</f>
        <v>-999.99999999999977</v>
      </c>
      <c r="AJ104" s="2">
        <f>+AJ87+AJ93+AJ101+AJ103</f>
        <v>-265.30000000000018</v>
      </c>
    </row>
    <row r="105" spans="2:36" x14ac:dyDescent="0.2">
      <c r="Q105" s="2"/>
      <c r="R105" s="2"/>
    </row>
    <row r="106" spans="2:36" s="8" customFormat="1" x14ac:dyDescent="0.2">
      <c r="B106" s="8" t="s">
        <v>57</v>
      </c>
      <c r="I106" s="8">
        <f>+I87+I90</f>
        <v>1076.4000000000001</v>
      </c>
      <c r="J106" s="8">
        <f>+J87+J90</f>
        <v>392.39999999999975</v>
      </c>
      <c r="K106" s="8">
        <f>+K87+K90</f>
        <v>960.80000000000041</v>
      </c>
      <c r="L106" s="8">
        <f>+L87+L90</f>
        <v>1245.4999999999995</v>
      </c>
      <c r="M106" s="8">
        <f>+M87+M90</f>
        <v>1788</v>
      </c>
      <c r="N106" s="8">
        <f>+N87+N90</f>
        <v>-153.0999999999998</v>
      </c>
      <c r="O106" s="8">
        <f>+O87+O90</f>
        <v>945.79999999999973</v>
      </c>
      <c r="P106" s="8">
        <f>+P87+P90</f>
        <v>737.40000000000055</v>
      </c>
      <c r="Q106" s="8">
        <f>+Q87+Q90</f>
        <v>1379.1</v>
      </c>
      <c r="R106" s="8">
        <f>+R87+R90</f>
        <v>-297.19999999999959</v>
      </c>
      <c r="S106" s="22"/>
      <c r="T106" s="22"/>
      <c r="AE106" s="8">
        <f>+AE87+AE90</f>
        <v>3240.4</v>
      </c>
      <c r="AF106" s="8">
        <f>+AF87+AF90</f>
        <v>114.20000000000027</v>
      </c>
      <c r="AG106" s="8">
        <f>+AG87+AG90</f>
        <v>4519.1000000000004</v>
      </c>
      <c r="AH106" s="8">
        <f>+AH87+AH90</f>
        <v>2555.9999999999991</v>
      </c>
      <c r="AI106" s="8">
        <f>+AI87+AI90</f>
        <v>3675.099999999999</v>
      </c>
      <c r="AJ106" s="8">
        <f>+AJ87+AJ90</f>
        <v>3318.0999999999995</v>
      </c>
    </row>
    <row r="107" spans="2:36" x14ac:dyDescent="0.2">
      <c r="B107" s="2" t="s">
        <v>58</v>
      </c>
      <c r="L107" s="2">
        <f t="shared" ref="L107:N107" si="106">+SUM(I106:L106)</f>
        <v>3675.1</v>
      </c>
      <c r="M107" s="2">
        <f t="shared" si="106"/>
        <v>4386.7</v>
      </c>
      <c r="N107" s="2">
        <f t="shared" si="106"/>
        <v>3841.2000000000003</v>
      </c>
      <c r="O107" s="2">
        <f>+SUM(L106:O106)</f>
        <v>3826.1999999999994</v>
      </c>
      <c r="P107" s="2">
        <f>+SUM(M106:P106)</f>
        <v>3318.1000000000004</v>
      </c>
      <c r="Q107" s="2">
        <f>+SUM(N106:Q106)</f>
        <v>2909.2000000000003</v>
      </c>
      <c r="R107" s="2">
        <f>+SUM(O106:R106)</f>
        <v>2765.1000000000004</v>
      </c>
    </row>
    <row r="109" spans="2:36" x14ac:dyDescent="0.2">
      <c r="B109" s="2" t="s">
        <v>59</v>
      </c>
      <c r="W109" s="2">
        <v>149000</v>
      </c>
    </row>
  </sheetData>
  <hyperlinks>
    <hyperlink ref="A1" location="Main!A1" display="Main" xr:uid="{DE38CCDD-0926-4498-B7E0-B4F045D1EBC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2024-05-03T19:27:19Z</dcterms:created>
  <dcterms:modified xsi:type="dcterms:W3CDTF">2025-04-30T06:33:59Z</dcterms:modified>
</cp:coreProperties>
</file>