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ModelsResearchMetrics\Models\"/>
    </mc:Choice>
  </mc:AlternateContent>
  <xr:revisionPtr revIDLastSave="0" documentId="13_ncr:1_{5BF1A739-6BBE-4F4B-88C6-AC7B432E450A}" xr6:coauthVersionLast="47" xr6:coauthVersionMax="47" xr10:uidLastSave="{00000000-0000-0000-0000-000000000000}"/>
  <bookViews>
    <workbookView xWindow="14400" yWindow="0" windowWidth="14400" windowHeight="15600" xr2:uid="{0690E676-64F4-43EE-9DA2-E70D239E7FE5}"/>
  </bookViews>
  <sheets>
    <sheet name="Main" sheetId="1" r:id="rId1"/>
    <sheet name="Model" sheetId="2" r:id="rId2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5" i="2" l="1"/>
  <c r="M95" i="2"/>
  <c r="O95" i="2"/>
  <c r="M91" i="2"/>
  <c r="M89" i="2"/>
  <c r="M88" i="2"/>
  <c r="M87" i="2"/>
  <c r="M86" i="2"/>
  <c r="M85" i="2"/>
  <c r="M84" i="2"/>
  <c r="M83" i="2"/>
  <c r="M90" i="2" s="1"/>
  <c r="M80" i="2"/>
  <c r="M79" i="2"/>
  <c r="M78" i="2"/>
  <c r="M77" i="2"/>
  <c r="M81" i="2" s="1"/>
  <c r="M76" i="2"/>
  <c r="M72" i="2"/>
  <c r="M71" i="2"/>
  <c r="M70" i="2"/>
  <c r="M69" i="2"/>
  <c r="M68" i="2"/>
  <c r="M67" i="2"/>
  <c r="M66" i="2"/>
  <c r="M65" i="2"/>
  <c r="M64" i="2"/>
  <c r="M73" i="2" s="1"/>
  <c r="M63" i="2"/>
  <c r="M62" i="2"/>
  <c r="M61" i="2"/>
  <c r="M60" i="2"/>
  <c r="M59" i="2"/>
  <c r="M58" i="2"/>
  <c r="M57" i="2"/>
  <c r="M56" i="2"/>
  <c r="AB83" i="2"/>
  <c r="AB79" i="2"/>
  <c r="AB77" i="2"/>
  <c r="AB76" i="2"/>
  <c r="AB57" i="2"/>
  <c r="AB90" i="2"/>
  <c r="AB81" i="2"/>
  <c r="AB73" i="2"/>
  <c r="AB74" i="2" s="1"/>
  <c r="AB55" i="2"/>
  <c r="L91" i="2"/>
  <c r="L89" i="2"/>
  <c r="L88" i="2"/>
  <c r="L87" i="2"/>
  <c r="L86" i="2"/>
  <c r="L85" i="2"/>
  <c r="L84" i="2"/>
  <c r="L83" i="2"/>
  <c r="L80" i="2"/>
  <c r="L79" i="2"/>
  <c r="L77" i="2"/>
  <c r="L76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K91" i="2"/>
  <c r="K89" i="2"/>
  <c r="K88" i="2"/>
  <c r="K87" i="2"/>
  <c r="K86" i="2"/>
  <c r="K85" i="2"/>
  <c r="K84" i="2"/>
  <c r="K83" i="2"/>
  <c r="K80" i="2"/>
  <c r="K79" i="2"/>
  <c r="K77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6" i="2"/>
  <c r="J83" i="2"/>
  <c r="J90" i="2" s="1"/>
  <c r="J81" i="2"/>
  <c r="J79" i="2"/>
  <c r="J76" i="2"/>
  <c r="K76" i="2" s="1"/>
  <c r="K81" i="2" s="1"/>
  <c r="J73" i="2"/>
  <c r="J74" i="2" s="1"/>
  <c r="J94" i="2" s="1"/>
  <c r="J57" i="2"/>
  <c r="K57" i="2" s="1"/>
  <c r="O89" i="2"/>
  <c r="O88" i="2"/>
  <c r="O87" i="2"/>
  <c r="O86" i="2"/>
  <c r="O85" i="2"/>
  <c r="O84" i="2"/>
  <c r="O83" i="2"/>
  <c r="O77" i="2"/>
  <c r="N90" i="2"/>
  <c r="N79" i="2"/>
  <c r="O79" i="2" s="1"/>
  <c r="N76" i="2"/>
  <c r="N81" i="2" s="1"/>
  <c r="O80" i="2"/>
  <c r="O56" i="2"/>
  <c r="O72" i="2"/>
  <c r="O71" i="2"/>
  <c r="O70" i="2"/>
  <c r="O69" i="2"/>
  <c r="O68" i="2"/>
  <c r="O67" i="2"/>
  <c r="O66" i="2"/>
  <c r="O65" i="2"/>
  <c r="O64" i="2"/>
  <c r="O61" i="2"/>
  <c r="O60" i="2"/>
  <c r="O59" i="2"/>
  <c r="O58" i="2"/>
  <c r="N73" i="2"/>
  <c r="N57" i="2"/>
  <c r="O57" i="2" s="1"/>
  <c r="O40" i="2"/>
  <c r="O48" i="2" s="1"/>
  <c r="O50" i="2" s="1"/>
  <c r="O36" i="2"/>
  <c r="O28" i="2"/>
  <c r="E18" i="2"/>
  <c r="E15" i="2"/>
  <c r="E10" i="2"/>
  <c r="E9" i="2"/>
  <c r="E8" i="2"/>
  <c r="E4" i="2"/>
  <c r="E3" i="2"/>
  <c r="I18" i="2"/>
  <c r="I15" i="2"/>
  <c r="I10" i="2"/>
  <c r="I9" i="2"/>
  <c r="I8" i="2"/>
  <c r="I4" i="2"/>
  <c r="I3" i="2"/>
  <c r="I5" i="2" s="1"/>
  <c r="M18" i="2"/>
  <c r="M15" i="2"/>
  <c r="M10" i="2"/>
  <c r="M9" i="2"/>
  <c r="M8" i="2"/>
  <c r="M4" i="2"/>
  <c r="M3" i="2"/>
  <c r="D13" i="2"/>
  <c r="D6" i="2"/>
  <c r="D11" i="2"/>
  <c r="D5" i="2"/>
  <c r="B13" i="2"/>
  <c r="B6" i="2"/>
  <c r="B11" i="2"/>
  <c r="B5" i="2"/>
  <c r="F13" i="2"/>
  <c r="F6" i="2"/>
  <c r="F11" i="2"/>
  <c r="F5" i="2"/>
  <c r="C13" i="2"/>
  <c r="C6" i="2"/>
  <c r="C11" i="2"/>
  <c r="C5" i="2"/>
  <c r="G13" i="2"/>
  <c r="G6" i="2"/>
  <c r="G11" i="2"/>
  <c r="G5" i="2"/>
  <c r="H13" i="2"/>
  <c r="H6" i="2"/>
  <c r="H11" i="2"/>
  <c r="H5" i="2"/>
  <c r="L13" i="2"/>
  <c r="L6" i="2"/>
  <c r="L11" i="2"/>
  <c r="L5" i="2"/>
  <c r="Z13" i="2"/>
  <c r="Z6" i="2"/>
  <c r="Z11" i="2"/>
  <c r="Z5" i="2"/>
  <c r="Z25" i="2" s="1"/>
  <c r="AA13" i="2"/>
  <c r="AA6" i="2"/>
  <c r="AA11" i="2"/>
  <c r="AA5" i="2"/>
  <c r="AB13" i="2"/>
  <c r="AB6" i="2"/>
  <c r="AB11" i="2"/>
  <c r="AB5" i="2"/>
  <c r="J13" i="2"/>
  <c r="J6" i="2"/>
  <c r="J11" i="2"/>
  <c r="J5" i="2"/>
  <c r="N13" i="2"/>
  <c r="N6" i="2"/>
  <c r="N11" i="2"/>
  <c r="N5" i="2"/>
  <c r="K13" i="2"/>
  <c r="K6" i="2"/>
  <c r="K11" i="2"/>
  <c r="K5" i="2"/>
  <c r="O13" i="2"/>
  <c r="O11" i="2"/>
  <c r="O6" i="2"/>
  <c r="O5" i="2"/>
  <c r="L5" i="1"/>
  <c r="S2" i="2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M74" i="2" l="1"/>
  <c r="M92" i="2" s="1"/>
  <c r="AB94" i="2"/>
  <c r="AB92" i="2"/>
  <c r="L90" i="2"/>
  <c r="L81" i="2"/>
  <c r="L74" i="2"/>
  <c r="L94" i="2" s="1"/>
  <c r="K90" i="2"/>
  <c r="J92" i="2"/>
  <c r="N74" i="2"/>
  <c r="O76" i="2"/>
  <c r="K73" i="2"/>
  <c r="K74" i="2" s="1"/>
  <c r="K92" i="2" s="1"/>
  <c r="O90" i="2"/>
  <c r="O81" i="2"/>
  <c r="O73" i="2"/>
  <c r="E5" i="2"/>
  <c r="I25" i="2" s="1"/>
  <c r="E6" i="2"/>
  <c r="O39" i="2"/>
  <c r="M13" i="2"/>
  <c r="E13" i="2"/>
  <c r="N25" i="2"/>
  <c r="M5" i="2"/>
  <c r="M6" i="2"/>
  <c r="I6" i="2"/>
  <c r="I7" i="2" s="1"/>
  <c r="I20" i="2" s="1"/>
  <c r="M11" i="2"/>
  <c r="O27" i="2"/>
  <c r="L6" i="1"/>
  <c r="L7" i="1"/>
  <c r="I13" i="2"/>
  <c r="I11" i="2"/>
  <c r="E11" i="2"/>
  <c r="O25" i="2"/>
  <c r="L25" i="2"/>
  <c r="H25" i="2"/>
  <c r="D7" i="2"/>
  <c r="D20" i="2" s="1"/>
  <c r="K25" i="2"/>
  <c r="F25" i="2"/>
  <c r="B7" i="2"/>
  <c r="B12" i="2" s="1"/>
  <c r="J25" i="2"/>
  <c r="F7" i="2"/>
  <c r="F20" i="2" s="1"/>
  <c r="C7" i="2"/>
  <c r="C20" i="2" s="1"/>
  <c r="G25" i="2"/>
  <c r="G7" i="2"/>
  <c r="G12" i="2" s="1"/>
  <c r="H7" i="2"/>
  <c r="H12" i="2" s="1"/>
  <c r="L7" i="2"/>
  <c r="L20" i="2" s="1"/>
  <c r="Z7" i="2"/>
  <c r="Z12" i="2" s="1"/>
  <c r="Z21" i="2" s="1"/>
  <c r="AA25" i="2"/>
  <c r="AA7" i="2"/>
  <c r="AA20" i="2" s="1"/>
  <c r="AB25" i="2"/>
  <c r="AB7" i="2"/>
  <c r="AB20" i="2" s="1"/>
  <c r="J7" i="2"/>
  <c r="J12" i="2" s="1"/>
  <c r="J14" i="2" s="1"/>
  <c r="N7" i="2"/>
  <c r="N12" i="2" s="1"/>
  <c r="N14" i="2" s="1"/>
  <c r="K7" i="2"/>
  <c r="K20" i="2" s="1"/>
  <c r="O7" i="2"/>
  <c r="O20" i="2" s="1"/>
  <c r="M94" i="2" l="1"/>
  <c r="L92" i="2"/>
  <c r="O94" i="2"/>
  <c r="O74" i="2"/>
  <c r="N94" i="2"/>
  <c r="N92" i="2"/>
  <c r="E7" i="2"/>
  <c r="E20" i="2" s="1"/>
  <c r="K94" i="2"/>
  <c r="O92" i="2"/>
  <c r="M7" i="2"/>
  <c r="M20" i="2" s="1"/>
  <c r="M25" i="2"/>
  <c r="Z20" i="2"/>
  <c r="J20" i="2"/>
  <c r="E12" i="2"/>
  <c r="E14" i="2" s="1"/>
  <c r="F12" i="2"/>
  <c r="F21" i="2" s="1"/>
  <c r="L8" i="1"/>
  <c r="L10" i="1" s="1"/>
  <c r="I12" i="2"/>
  <c r="D12" i="2"/>
  <c r="D21" i="2" s="1"/>
  <c r="B20" i="2"/>
  <c r="B21" i="2"/>
  <c r="B14" i="2"/>
  <c r="C12" i="2"/>
  <c r="C14" i="2" s="1"/>
  <c r="G20" i="2"/>
  <c r="G21" i="2"/>
  <c r="G14" i="2"/>
  <c r="H20" i="2"/>
  <c r="H14" i="2"/>
  <c r="H21" i="2"/>
  <c r="L12" i="2"/>
  <c r="L21" i="2" s="1"/>
  <c r="Z14" i="2"/>
  <c r="Z16" i="2" s="1"/>
  <c r="AA12" i="2"/>
  <c r="AA21" i="2" s="1"/>
  <c r="AB12" i="2"/>
  <c r="AB21" i="2" s="1"/>
  <c r="J21" i="2"/>
  <c r="J23" i="2"/>
  <c r="J16" i="2"/>
  <c r="J55" i="2" s="1"/>
  <c r="N21" i="2"/>
  <c r="N20" i="2"/>
  <c r="N23" i="2"/>
  <c r="N16" i="2"/>
  <c r="N55" i="2" s="1"/>
  <c r="K12" i="2"/>
  <c r="K21" i="2" s="1"/>
  <c r="O12" i="2"/>
  <c r="O21" i="2" s="1"/>
  <c r="E21" i="2" l="1"/>
  <c r="M12" i="2"/>
  <c r="F14" i="2"/>
  <c r="I21" i="2"/>
  <c r="I14" i="2"/>
  <c r="E16" i="2"/>
  <c r="E23" i="2"/>
  <c r="D14" i="2"/>
  <c r="D23" i="2" s="1"/>
  <c r="B23" i="2"/>
  <c r="B16" i="2"/>
  <c r="F23" i="2"/>
  <c r="F16" i="2"/>
  <c r="C21" i="2"/>
  <c r="C23" i="2"/>
  <c r="C16" i="2"/>
  <c r="G23" i="2"/>
  <c r="G16" i="2"/>
  <c r="H23" i="2"/>
  <c r="H16" i="2"/>
  <c r="L14" i="2"/>
  <c r="L23" i="2" s="1"/>
  <c r="Z23" i="2"/>
  <c r="Z22" i="2"/>
  <c r="Z17" i="2"/>
  <c r="AA14" i="2"/>
  <c r="AA16" i="2" s="1"/>
  <c r="AB14" i="2"/>
  <c r="AB23" i="2" s="1"/>
  <c r="J22" i="2"/>
  <c r="J17" i="2"/>
  <c r="N22" i="2"/>
  <c r="N17" i="2"/>
  <c r="K14" i="2"/>
  <c r="K23" i="2" s="1"/>
  <c r="O14" i="2"/>
  <c r="O16" i="2" s="1"/>
  <c r="O55" i="2" s="1"/>
  <c r="M21" i="2" l="1"/>
  <c r="M14" i="2"/>
  <c r="O23" i="2"/>
  <c r="E22" i="2"/>
  <c r="E17" i="2"/>
  <c r="I16" i="2"/>
  <c r="I23" i="2"/>
  <c r="D16" i="2"/>
  <c r="D22" i="2" s="1"/>
  <c r="B22" i="2"/>
  <c r="B17" i="2"/>
  <c r="F22" i="2"/>
  <c r="F17" i="2"/>
  <c r="C22" i="2"/>
  <c r="C17" i="2"/>
  <c r="G22" i="2"/>
  <c r="G17" i="2"/>
  <c r="H22" i="2"/>
  <c r="H17" i="2"/>
  <c r="L16" i="2"/>
  <c r="L55" i="2" s="1"/>
  <c r="AA23" i="2"/>
  <c r="AA22" i="2"/>
  <c r="AA17" i="2"/>
  <c r="AB16" i="2"/>
  <c r="AB17" i="2" s="1"/>
  <c r="K16" i="2"/>
  <c r="O22" i="2"/>
  <c r="O17" i="2"/>
  <c r="K22" i="2" l="1"/>
  <c r="K55" i="2"/>
  <c r="M16" i="2"/>
  <c r="M55" i="2" s="1"/>
  <c r="M23" i="2"/>
  <c r="L22" i="2"/>
  <c r="O52" i="2"/>
  <c r="O53" i="2" s="1"/>
  <c r="I22" i="2"/>
  <c r="I17" i="2"/>
  <c r="D17" i="2"/>
  <c r="L17" i="2"/>
  <c r="AB22" i="2"/>
  <c r="K17" i="2"/>
  <c r="M17" i="2" l="1"/>
  <c r="M22" i="2"/>
</calcChain>
</file>

<file path=xl/sharedStrings.xml><?xml version="1.0" encoding="utf-8"?>
<sst xmlns="http://schemas.openxmlformats.org/spreadsheetml/2006/main" count="109" uniqueCount="92">
  <si>
    <t>Revenue</t>
  </si>
  <si>
    <t>COGS</t>
  </si>
  <si>
    <t>Gross profit</t>
  </si>
  <si>
    <t>R&amp;D</t>
  </si>
  <si>
    <t>Operating expense</t>
  </si>
  <si>
    <t>Operating income</t>
  </si>
  <si>
    <t>Interest income</t>
  </si>
  <si>
    <t>Pretax</t>
  </si>
  <si>
    <t>Taxes</t>
  </si>
  <si>
    <t>Net income</t>
  </si>
  <si>
    <t>EPS</t>
  </si>
  <si>
    <t>Shares</t>
  </si>
  <si>
    <t>Gross margin</t>
  </si>
  <si>
    <t>Operating margin</t>
  </si>
  <si>
    <t>Net margin</t>
  </si>
  <si>
    <t>Tax rate</t>
  </si>
  <si>
    <t>Revenue y/y</t>
  </si>
  <si>
    <t>Q222</t>
  </si>
  <si>
    <t>Q322</t>
  </si>
  <si>
    <t>Q122</t>
  </si>
  <si>
    <t>Q422</t>
  </si>
  <si>
    <t>Q123</t>
  </si>
  <si>
    <t>Q223</t>
  </si>
  <si>
    <t>Q323</t>
  </si>
  <si>
    <t>Q423</t>
  </si>
  <si>
    <t>Q124</t>
  </si>
  <si>
    <t>Q224</t>
  </si>
  <si>
    <t>Q324</t>
  </si>
  <si>
    <t>Q424</t>
  </si>
  <si>
    <t>Price</t>
  </si>
  <si>
    <t>MC</t>
  </si>
  <si>
    <t>Cash</t>
  </si>
  <si>
    <t>Debt</t>
  </si>
  <si>
    <t>EV</t>
  </si>
  <si>
    <t>TurboTax</t>
  </si>
  <si>
    <t>Credit Karma</t>
  </si>
  <si>
    <t>QuickBooks</t>
  </si>
  <si>
    <t>Mailchimp</t>
  </si>
  <si>
    <t>Service</t>
  </si>
  <si>
    <t>Product and other</t>
  </si>
  <si>
    <t>Q125</t>
  </si>
  <si>
    <t>S&amp;M</t>
  </si>
  <si>
    <t>G&amp;A</t>
  </si>
  <si>
    <t>Q225</t>
  </si>
  <si>
    <t>Net cash</t>
  </si>
  <si>
    <t>AR</t>
  </si>
  <si>
    <t>Held for sale</t>
  </si>
  <si>
    <t>Prepaid</t>
  </si>
  <si>
    <t>Funds recievables</t>
  </si>
  <si>
    <t>Assets</t>
  </si>
  <si>
    <t>PP&amp;E</t>
  </si>
  <si>
    <t>Lease</t>
  </si>
  <si>
    <t>Goodwill</t>
  </si>
  <si>
    <t>DT</t>
  </si>
  <si>
    <t>Other</t>
  </si>
  <si>
    <t>AP</t>
  </si>
  <si>
    <t>Accrued</t>
  </si>
  <si>
    <t>DR</t>
  </si>
  <si>
    <t>OCL</t>
  </si>
  <si>
    <t>Funds payable</t>
  </si>
  <si>
    <t>ONCL</t>
  </si>
  <si>
    <t>Liabilities</t>
  </si>
  <si>
    <t>S/E</t>
  </si>
  <si>
    <t>L+S/E</t>
  </si>
  <si>
    <t>NI TTM</t>
  </si>
  <si>
    <t>ROTA</t>
  </si>
  <si>
    <t>Model NI</t>
  </si>
  <si>
    <t>Reported NI</t>
  </si>
  <si>
    <t>D&amp;A</t>
  </si>
  <si>
    <t>Non cash lease</t>
  </si>
  <si>
    <t>SBC</t>
  </si>
  <si>
    <t>Loans created</t>
  </si>
  <si>
    <t>Loans repayed</t>
  </si>
  <si>
    <t>Tax payable</t>
  </si>
  <si>
    <t>Tax receivable</t>
  </si>
  <si>
    <t>WC</t>
  </si>
  <si>
    <t>CFFO</t>
  </si>
  <si>
    <t>Investments</t>
  </si>
  <si>
    <t>CapEx</t>
  </si>
  <si>
    <t>Loans</t>
  </si>
  <si>
    <t>CFFI</t>
  </si>
  <si>
    <t>ESOP</t>
  </si>
  <si>
    <t>Vesting tax</t>
  </si>
  <si>
    <t>CFFF</t>
  </si>
  <si>
    <t>FX</t>
  </si>
  <si>
    <t>CIC</t>
  </si>
  <si>
    <t>FCF</t>
  </si>
  <si>
    <t>Buybacks</t>
  </si>
  <si>
    <t>Dividends</t>
  </si>
  <si>
    <t>Customers fund</t>
  </si>
  <si>
    <t>Acquisitions</t>
  </si>
  <si>
    <t>TTM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</si>
</sst>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d/mm/yy;@"/>
    <numFmt numFmtId="168" formatCode="0\x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3" fontId="0" fillId="0" borderId="0" xfId="0" applyNumberFormat="1"/>
    <xf numFmtId="0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4" fontId="0" fillId="0" borderId="0" xfId="0" applyNumberFormat="1"/>
    <xf numFmtId="3" fontId="0" fillId="0" borderId="0" xfId="0" applyNumberFormat="1" applyAlignment="1">
      <alignment horizontal="left"/>
    </xf>
    <xf numFmtId="3" fontId="1" fillId="0" borderId="0" xfId="0" applyNumberFormat="1" applyFont="1"/>
    <xf numFmtId="9" fontId="1" fillId="0" borderId="0" xfId="0" applyNumberFormat="1" applyFont="1"/>
    <xf numFmtId="167" fontId="0" fillId="0" borderId="0" xfId="0" applyNumberFormat="1"/>
    <xf numFmtId="3" fontId="0" fillId="0" borderId="0" xfId="0" applyNumberFormat="1" applyFo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0</xdr:row>
      <xdr:rowOff>28575</xdr:rowOff>
    </xdr:from>
    <xdr:to>
      <xdr:col>15</xdr:col>
      <xdr:colOff>47625</xdr:colOff>
      <xdr:row>101</xdr:row>
      <xdr:rowOff>76200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DD50086D-5FB7-6925-F566-FD4B3615588A}"/>
            </a:ext>
          </a:extLst>
        </xdr:cNvPr>
        <xdr:cNvCxnSpPr/>
      </xdr:nvCxnSpPr>
      <xdr:spPr>
        <a:xfrm>
          <a:off x="9696450" y="28575"/>
          <a:ext cx="0" cy="1543050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38100</xdr:colOff>
      <xdr:row>0</xdr:row>
      <xdr:rowOff>28575</xdr:rowOff>
    </xdr:from>
    <xdr:to>
      <xdr:col>28</xdr:col>
      <xdr:colOff>38100</xdr:colOff>
      <xdr:row>96</xdr:row>
      <xdr:rowOff>66675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36325C9C-734F-408C-BFAD-202A4A750A54}"/>
            </a:ext>
          </a:extLst>
        </xdr:cNvPr>
        <xdr:cNvCxnSpPr/>
      </xdr:nvCxnSpPr>
      <xdr:spPr>
        <a:xfrm>
          <a:off x="17611725" y="28575"/>
          <a:ext cx="0" cy="1558290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89E410-32F5-4DDB-BF7B-99DCB63FA1C8}">
  <dimension ref="B2:L10"/>
  <sheetViews>
    <sheetView tabSelected="1" workbookViewId="0">
      <selection activeCell="G17" sqref="G17"/>
    </sheetView>
  </sheetViews>
  <sheetFormatPr defaultRowHeight="12.75" x14ac:dyDescent="0.2"/>
  <cols>
    <col min="1" max="1" width="5" bestFit="1" customWidth="1"/>
  </cols>
  <sheetData>
    <row r="2" spans="2:12" x14ac:dyDescent="0.2">
      <c r="B2" t="s">
        <v>34</v>
      </c>
    </row>
    <row r="3" spans="2:12" x14ac:dyDescent="0.2">
      <c r="B3" t="s">
        <v>35</v>
      </c>
      <c r="K3" t="s">
        <v>29</v>
      </c>
      <c r="L3">
        <v>621.21</v>
      </c>
    </row>
    <row r="4" spans="2:12" x14ac:dyDescent="0.2">
      <c r="B4" t="s">
        <v>36</v>
      </c>
      <c r="K4" t="s">
        <v>11</v>
      </c>
      <c r="L4" s="1">
        <v>279.56200000000001</v>
      </c>
    </row>
    <row r="5" spans="2:12" x14ac:dyDescent="0.2">
      <c r="B5" t="s">
        <v>37</v>
      </c>
      <c r="K5" t="s">
        <v>30</v>
      </c>
      <c r="L5" s="1">
        <f>+L3*L4</f>
        <v>173666.71002000003</v>
      </c>
    </row>
    <row r="6" spans="2:12" x14ac:dyDescent="0.2">
      <c r="K6" t="s">
        <v>31</v>
      </c>
      <c r="L6" s="1">
        <f>+Model!O28</f>
        <v>3923</v>
      </c>
    </row>
    <row r="7" spans="2:12" x14ac:dyDescent="0.2">
      <c r="K7" t="s">
        <v>32</v>
      </c>
      <c r="L7" s="1">
        <f>+Model!O40</f>
        <v>6260</v>
      </c>
    </row>
    <row r="8" spans="2:12" x14ac:dyDescent="0.2">
      <c r="K8" t="s">
        <v>33</v>
      </c>
      <c r="L8" s="1">
        <f>+L5-L6+L7</f>
        <v>176003.71002000003</v>
      </c>
    </row>
    <row r="9" spans="2:12" x14ac:dyDescent="0.2">
      <c r="L9" s="1">
        <v>5632</v>
      </c>
    </row>
    <row r="10" spans="2:12" x14ac:dyDescent="0.2">
      <c r="L10" s="11">
        <f>+L8/L9</f>
        <v>31.250658739346594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0EF70-2579-4AB4-B768-BC8D847EFC60}">
  <dimension ref="A1:AL96"/>
  <sheetViews>
    <sheetView workbookViewId="0">
      <pane xSplit="1" ySplit="2" topLeftCell="G42" activePane="bottomRight" state="frozen"/>
      <selection pane="topRight" activeCell="B1" sqref="B1"/>
      <selection pane="bottomLeft" activeCell="A3" sqref="A3"/>
      <selection pane="bottomRight" activeCell="H56" sqref="H56"/>
    </sheetView>
  </sheetViews>
  <sheetFormatPr defaultRowHeight="12.75" x14ac:dyDescent="0.2"/>
  <cols>
    <col min="1" max="1" width="16.7109375" style="1" bestFit="1" customWidth="1"/>
    <col min="2" max="16384" width="9.140625" style="1"/>
  </cols>
  <sheetData>
    <row r="1" spans="1:38" s="9" customFormat="1" x14ac:dyDescent="0.2">
      <c r="B1" s="9">
        <v>44500</v>
      </c>
      <c r="C1" s="9">
        <v>44592</v>
      </c>
      <c r="D1" s="9">
        <v>44681</v>
      </c>
      <c r="E1" s="9">
        <v>44773</v>
      </c>
      <c r="F1" s="9">
        <v>44865</v>
      </c>
      <c r="G1" s="9">
        <v>44957</v>
      </c>
      <c r="H1" s="9">
        <v>45046</v>
      </c>
      <c r="I1" s="9">
        <v>45138</v>
      </c>
      <c r="J1" s="9">
        <v>45230</v>
      </c>
      <c r="K1" s="9">
        <v>45322</v>
      </c>
      <c r="L1" s="9">
        <v>45412</v>
      </c>
      <c r="M1" s="9">
        <v>45504</v>
      </c>
      <c r="N1" s="9">
        <v>45596</v>
      </c>
      <c r="O1" s="9">
        <v>45688</v>
      </c>
      <c r="Z1" s="9">
        <v>44773</v>
      </c>
      <c r="AA1" s="9">
        <v>45138</v>
      </c>
      <c r="AB1" s="9">
        <v>45504</v>
      </c>
    </row>
    <row r="2" spans="1:38" x14ac:dyDescent="0.2">
      <c r="A2" s="3"/>
      <c r="B2" s="3" t="s">
        <v>19</v>
      </c>
      <c r="C2" s="3" t="s">
        <v>17</v>
      </c>
      <c r="D2" s="3" t="s">
        <v>18</v>
      </c>
      <c r="E2" s="3" t="s">
        <v>20</v>
      </c>
      <c r="F2" s="3" t="s">
        <v>21</v>
      </c>
      <c r="G2" s="3" t="s">
        <v>22</v>
      </c>
      <c r="H2" s="3" t="s">
        <v>23</v>
      </c>
      <c r="I2" s="3" t="s">
        <v>24</v>
      </c>
      <c r="J2" s="3" t="s">
        <v>25</v>
      </c>
      <c r="K2" s="3" t="s">
        <v>26</v>
      </c>
      <c r="L2" s="3" t="s">
        <v>27</v>
      </c>
      <c r="M2" s="3" t="s">
        <v>28</v>
      </c>
      <c r="N2" s="3" t="s">
        <v>40</v>
      </c>
      <c r="O2" s="3" t="s">
        <v>43</v>
      </c>
      <c r="P2" s="3"/>
      <c r="Q2" s="3"/>
      <c r="R2" s="2">
        <v>2014</v>
      </c>
      <c r="S2" s="2">
        <f>+R2+1</f>
        <v>2015</v>
      </c>
      <c r="T2" s="2">
        <f t="shared" ref="T2:AM2" si="0">+S2+1</f>
        <v>2016</v>
      </c>
      <c r="U2" s="2">
        <f t="shared" si="0"/>
        <v>2017</v>
      </c>
      <c r="V2" s="2">
        <f t="shared" si="0"/>
        <v>2018</v>
      </c>
      <c r="W2" s="2">
        <f t="shared" si="0"/>
        <v>2019</v>
      </c>
      <c r="X2" s="2">
        <f t="shared" si="0"/>
        <v>2020</v>
      </c>
      <c r="Y2" s="2">
        <f t="shared" si="0"/>
        <v>2021</v>
      </c>
      <c r="Z2" s="2">
        <f t="shared" si="0"/>
        <v>2022</v>
      </c>
      <c r="AA2" s="2">
        <f t="shared" si="0"/>
        <v>2023</v>
      </c>
      <c r="AB2" s="2">
        <f t="shared" si="0"/>
        <v>2024</v>
      </c>
      <c r="AC2" s="2">
        <f t="shared" si="0"/>
        <v>2025</v>
      </c>
      <c r="AD2" s="2">
        <f t="shared" si="0"/>
        <v>2026</v>
      </c>
      <c r="AE2" s="2">
        <f t="shared" si="0"/>
        <v>2027</v>
      </c>
      <c r="AF2" s="2">
        <f t="shared" si="0"/>
        <v>2028</v>
      </c>
      <c r="AG2" s="2">
        <f t="shared" si="0"/>
        <v>2029</v>
      </c>
      <c r="AH2" s="2">
        <f t="shared" si="0"/>
        <v>2030</v>
      </c>
      <c r="AI2" s="2">
        <f t="shared" si="0"/>
        <v>2031</v>
      </c>
      <c r="AJ2" s="2">
        <f t="shared" si="0"/>
        <v>2032</v>
      </c>
      <c r="AK2" s="2">
        <f t="shared" si="0"/>
        <v>2033</v>
      </c>
      <c r="AL2" s="2">
        <f t="shared" si="0"/>
        <v>2034</v>
      </c>
    </row>
    <row r="3" spans="1:38" x14ac:dyDescent="0.2">
      <c r="A3" s="6" t="s">
        <v>38</v>
      </c>
      <c r="B3" s="1">
        <v>1610</v>
      </c>
      <c r="C3" s="1">
        <v>2148</v>
      </c>
      <c r="D3" s="1">
        <v>5078</v>
      </c>
      <c r="E3" s="3">
        <f>+Z3-SUM(B3:D3)</f>
        <v>2078</v>
      </c>
      <c r="F3" s="1">
        <v>2170</v>
      </c>
      <c r="G3" s="1">
        <v>2434</v>
      </c>
      <c r="H3" s="1">
        <v>5404</v>
      </c>
      <c r="I3" s="3">
        <f>+AA3-SUM(F3:H3)</f>
        <v>2309</v>
      </c>
      <c r="J3" s="1">
        <v>2450</v>
      </c>
      <c r="K3" s="1">
        <v>2693</v>
      </c>
      <c r="L3" s="1">
        <v>6048</v>
      </c>
      <c r="M3" s="3">
        <f>+AB3-SUM(J3:L3)</f>
        <v>2670</v>
      </c>
      <c r="N3" s="1">
        <v>2889</v>
      </c>
      <c r="O3" s="1">
        <v>3249</v>
      </c>
      <c r="R3" s="2"/>
      <c r="S3" s="2"/>
      <c r="T3" s="2"/>
      <c r="U3" s="2"/>
      <c r="V3" s="2"/>
      <c r="W3" s="2"/>
      <c r="X3" s="2"/>
      <c r="Y3" s="2"/>
      <c r="Z3" s="1">
        <v>10914</v>
      </c>
      <c r="AA3" s="1">
        <v>12317</v>
      </c>
      <c r="AB3" s="1">
        <v>13861</v>
      </c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 x14ac:dyDescent="0.2">
      <c r="A4" s="6" t="s">
        <v>39</v>
      </c>
      <c r="B4" s="1">
        <v>397</v>
      </c>
      <c r="C4" s="1">
        <v>525</v>
      </c>
      <c r="D4" s="1">
        <v>554</v>
      </c>
      <c r="E4" s="3">
        <f>+Z4-SUM(B4:D4)</f>
        <v>336</v>
      </c>
      <c r="F4" s="1">
        <v>427</v>
      </c>
      <c r="G4" s="1">
        <v>607</v>
      </c>
      <c r="H4" s="1">
        <v>614</v>
      </c>
      <c r="I4" s="3">
        <f>+AA4-SUM(F4:H4)</f>
        <v>403</v>
      </c>
      <c r="J4" s="1">
        <v>528</v>
      </c>
      <c r="K4" s="1">
        <v>693</v>
      </c>
      <c r="L4" s="1">
        <v>689</v>
      </c>
      <c r="M4" s="3">
        <f>+AB4-SUM(J4:L4)</f>
        <v>514</v>
      </c>
      <c r="N4" s="1">
        <v>394</v>
      </c>
      <c r="O4" s="1">
        <v>714</v>
      </c>
      <c r="R4" s="2"/>
      <c r="S4" s="2"/>
      <c r="T4" s="2"/>
      <c r="U4" s="2"/>
      <c r="V4" s="2"/>
      <c r="W4" s="2"/>
      <c r="X4" s="2"/>
      <c r="Y4" s="2"/>
      <c r="Z4" s="1">
        <v>1812</v>
      </c>
      <c r="AA4" s="1">
        <v>2051</v>
      </c>
      <c r="AB4" s="1">
        <v>2424</v>
      </c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 s="7" customFormat="1" x14ac:dyDescent="0.2">
      <c r="A5" s="7" t="s">
        <v>0</v>
      </c>
      <c r="B5" s="7">
        <f>+SUM(B3:B4)</f>
        <v>2007</v>
      </c>
      <c r="C5" s="7">
        <f>+SUM(C3:C4)</f>
        <v>2673</v>
      </c>
      <c r="D5" s="7">
        <f>+SUM(D3:D4)</f>
        <v>5632</v>
      </c>
      <c r="E5" s="7">
        <f>+SUM(E3:E4)</f>
        <v>2414</v>
      </c>
      <c r="F5" s="7">
        <f>+SUM(F3:F4)</f>
        <v>2597</v>
      </c>
      <c r="G5" s="7">
        <f>+SUM(G3:G4)</f>
        <v>3041</v>
      </c>
      <c r="H5" s="7">
        <f>+SUM(H3:H4)</f>
        <v>6018</v>
      </c>
      <c r="I5" s="7">
        <f>+SUM(I3:I4)</f>
        <v>2712</v>
      </c>
      <c r="J5" s="7">
        <f>+SUM(J3:J4)</f>
        <v>2978</v>
      </c>
      <c r="K5" s="7">
        <f>+SUM(K3:K4)</f>
        <v>3386</v>
      </c>
      <c r="L5" s="7">
        <f>+SUM(L3:L4)</f>
        <v>6737</v>
      </c>
      <c r="M5" s="7">
        <f>+SUM(M3:M4)</f>
        <v>3184</v>
      </c>
      <c r="N5" s="7">
        <f>+SUM(N3:N4)</f>
        <v>3283</v>
      </c>
      <c r="O5" s="7">
        <f>+SUM(O3:O4)</f>
        <v>3963</v>
      </c>
      <c r="Z5" s="7">
        <f>+SUM(Z3:Z4)</f>
        <v>12726</v>
      </c>
      <c r="AA5" s="7">
        <f>+SUM(AA3:AA4)</f>
        <v>14368</v>
      </c>
      <c r="AB5" s="7">
        <f>+SUM(AB3:AB4)</f>
        <v>16285</v>
      </c>
    </row>
    <row r="6" spans="1:38" x14ac:dyDescent="0.2">
      <c r="A6" s="1" t="s">
        <v>1</v>
      </c>
      <c r="B6" s="1">
        <f>15+387</f>
        <v>402</v>
      </c>
      <c r="C6" s="1">
        <f>20+503</f>
        <v>523</v>
      </c>
      <c r="D6" s="1">
        <f>18+764</f>
        <v>782</v>
      </c>
      <c r="E6" s="3">
        <f>+Z6-SUM(B6:D6)</f>
        <v>559</v>
      </c>
      <c r="F6" s="1">
        <f>15+620</f>
        <v>635</v>
      </c>
      <c r="G6" s="1">
        <f>23+709</f>
        <v>732</v>
      </c>
      <c r="H6" s="1">
        <f>924+17</f>
        <v>941</v>
      </c>
      <c r="I6" s="3">
        <f>+AA6-SUM(F6:H6)</f>
        <v>672</v>
      </c>
      <c r="J6" s="1">
        <f>707+15</f>
        <v>722</v>
      </c>
      <c r="K6" s="1">
        <f>796+23</f>
        <v>819</v>
      </c>
      <c r="L6" s="1">
        <f>1014+17</f>
        <v>1031</v>
      </c>
      <c r="M6" s="3">
        <f>+AB6-SUM(J6:L6)</f>
        <v>747</v>
      </c>
      <c r="N6" s="1">
        <f>772+14</f>
        <v>786</v>
      </c>
      <c r="O6" s="1">
        <f>880+20</f>
        <v>900</v>
      </c>
      <c r="Z6" s="1">
        <f>2196+70</f>
        <v>2266</v>
      </c>
      <c r="AA6" s="1">
        <f>2908+72</f>
        <v>2980</v>
      </c>
      <c r="AB6" s="1">
        <f>3250+69</f>
        <v>3319</v>
      </c>
    </row>
    <row r="7" spans="1:38" x14ac:dyDescent="0.2">
      <c r="A7" s="1" t="s">
        <v>2</v>
      </c>
      <c r="B7" s="1">
        <f>+B5-B6</f>
        <v>1605</v>
      </c>
      <c r="C7" s="1">
        <f>+C5-C6</f>
        <v>2150</v>
      </c>
      <c r="D7" s="1">
        <f>+D5-D6</f>
        <v>4850</v>
      </c>
      <c r="E7" s="1">
        <f>+E5-E6</f>
        <v>1855</v>
      </c>
      <c r="F7" s="1">
        <f>+F5-F6</f>
        <v>1962</v>
      </c>
      <c r="G7" s="1">
        <f>+G5-G6</f>
        <v>2309</v>
      </c>
      <c r="H7" s="1">
        <f>+H5-H6</f>
        <v>5077</v>
      </c>
      <c r="I7" s="1">
        <f>+I5-I6</f>
        <v>2040</v>
      </c>
      <c r="J7" s="1">
        <f>+J5-J6</f>
        <v>2256</v>
      </c>
      <c r="K7" s="1">
        <f>+K5-K6</f>
        <v>2567</v>
      </c>
      <c r="L7" s="1">
        <f>+L5-L6</f>
        <v>5706</v>
      </c>
      <c r="M7" s="1">
        <f>+M5-M6</f>
        <v>2437</v>
      </c>
      <c r="N7" s="1">
        <f>+N5-N6</f>
        <v>2497</v>
      </c>
      <c r="O7" s="1">
        <f>+O5-O6</f>
        <v>3063</v>
      </c>
      <c r="Z7" s="1">
        <f>+Z5-Z6</f>
        <v>10460</v>
      </c>
      <c r="AA7" s="1">
        <f>+AA5-AA6</f>
        <v>11388</v>
      </c>
      <c r="AB7" s="1">
        <f>+AB5-AB6</f>
        <v>12966</v>
      </c>
    </row>
    <row r="8" spans="1:38" x14ac:dyDescent="0.2">
      <c r="A8" s="1" t="s">
        <v>41</v>
      </c>
      <c r="B8" s="1">
        <v>550</v>
      </c>
      <c r="C8" s="1">
        <v>942</v>
      </c>
      <c r="D8" s="1">
        <v>1227</v>
      </c>
      <c r="E8" s="3">
        <f t="shared" ref="E8:E10" si="1">+Z8-SUM(B8:D8)</f>
        <v>807</v>
      </c>
      <c r="F8" s="1">
        <v>795</v>
      </c>
      <c r="G8" s="1">
        <v>924</v>
      </c>
      <c r="H8" s="1">
        <v>1203</v>
      </c>
      <c r="I8" s="3">
        <f t="shared" ref="I8:I10" si="2">+AA8-SUM(F8:H8)</f>
        <v>840</v>
      </c>
      <c r="J8" s="1">
        <v>769</v>
      </c>
      <c r="K8" s="1">
        <v>1020</v>
      </c>
      <c r="L8" s="1">
        <v>1419</v>
      </c>
      <c r="M8" s="3">
        <f t="shared" ref="M8:M10" si="3">+AB8-SUM(J8:L8)</f>
        <v>1104</v>
      </c>
      <c r="N8" s="1">
        <v>962</v>
      </c>
      <c r="O8" s="1">
        <v>1204</v>
      </c>
      <c r="Z8" s="1">
        <v>3526</v>
      </c>
      <c r="AA8" s="1">
        <v>3762</v>
      </c>
      <c r="AB8" s="1">
        <v>4312</v>
      </c>
    </row>
    <row r="9" spans="1:38" x14ac:dyDescent="0.2">
      <c r="A9" s="1" t="s">
        <v>3</v>
      </c>
      <c r="B9" s="1">
        <v>530</v>
      </c>
      <c r="C9" s="1">
        <v>590</v>
      </c>
      <c r="D9" s="1">
        <v>600</v>
      </c>
      <c r="E9" s="3">
        <f t="shared" si="1"/>
        <v>627</v>
      </c>
      <c r="F9" s="1">
        <v>625</v>
      </c>
      <c r="G9" s="1">
        <v>630</v>
      </c>
      <c r="H9" s="1">
        <v>604</v>
      </c>
      <c r="I9" s="3">
        <f t="shared" si="2"/>
        <v>680</v>
      </c>
      <c r="J9" s="1">
        <v>680</v>
      </c>
      <c r="K9" s="1">
        <v>678</v>
      </c>
      <c r="L9" s="1">
        <v>671</v>
      </c>
      <c r="M9" s="3">
        <f t="shared" si="3"/>
        <v>725</v>
      </c>
      <c r="N9" s="1">
        <v>704</v>
      </c>
      <c r="O9" s="1">
        <v>716</v>
      </c>
      <c r="Z9" s="1">
        <v>2347</v>
      </c>
      <c r="AA9" s="1">
        <v>2539</v>
      </c>
      <c r="AB9" s="1">
        <v>2754</v>
      </c>
    </row>
    <row r="10" spans="1:38" x14ac:dyDescent="0.2">
      <c r="A10" s="1" t="s">
        <v>42</v>
      </c>
      <c r="B10" s="1">
        <v>262</v>
      </c>
      <c r="C10" s="1">
        <v>399</v>
      </c>
      <c r="D10" s="1">
        <v>465</v>
      </c>
      <c r="E10" s="3">
        <f t="shared" si="1"/>
        <v>-710</v>
      </c>
      <c r="F10" s="1">
        <v>304</v>
      </c>
      <c r="G10" s="1">
        <v>323</v>
      </c>
      <c r="H10" s="1">
        <v>332</v>
      </c>
      <c r="I10" s="3">
        <f t="shared" si="2"/>
        <v>341</v>
      </c>
      <c r="J10" s="1">
        <v>342</v>
      </c>
      <c r="K10" s="1">
        <v>344</v>
      </c>
      <c r="L10" s="1">
        <v>355</v>
      </c>
      <c r="M10" s="3">
        <f t="shared" si="3"/>
        <v>377</v>
      </c>
      <c r="N10" s="1">
        <v>394</v>
      </c>
      <c r="O10" s="1">
        <v>389</v>
      </c>
      <c r="Z10" s="1">
        <v>416</v>
      </c>
      <c r="AA10" s="1">
        <v>1300</v>
      </c>
      <c r="AB10" s="1">
        <v>1418</v>
      </c>
    </row>
    <row r="11" spans="1:38" x14ac:dyDescent="0.2">
      <c r="A11" s="1" t="s">
        <v>4</v>
      </c>
      <c r="B11" s="1">
        <f>+SUM(B8:B10)</f>
        <v>1342</v>
      </c>
      <c r="C11" s="1">
        <f>+SUM(C8:C10)</f>
        <v>1931</v>
      </c>
      <c r="D11" s="1">
        <f>+SUM(D8:D10)</f>
        <v>2292</v>
      </c>
      <c r="E11" s="1">
        <f>+SUM(E8:E10)</f>
        <v>724</v>
      </c>
      <c r="F11" s="1">
        <f>+SUM(F8:F10)</f>
        <v>1724</v>
      </c>
      <c r="G11" s="1">
        <f>+SUM(G8:G10)</f>
        <v>1877</v>
      </c>
      <c r="H11" s="1">
        <f>+SUM(H8:H10)</f>
        <v>2139</v>
      </c>
      <c r="I11" s="1">
        <f>+SUM(I8:I10)</f>
        <v>1861</v>
      </c>
      <c r="J11" s="1">
        <f>+SUM(J8:J10)</f>
        <v>1791</v>
      </c>
      <c r="K11" s="1">
        <f>+SUM(K8:K10)</f>
        <v>2042</v>
      </c>
      <c r="L11" s="1">
        <f>+SUM(L8:L10)</f>
        <v>2445</v>
      </c>
      <c r="M11" s="1">
        <f>+SUM(M8:M10)</f>
        <v>2206</v>
      </c>
      <c r="N11" s="1">
        <f>+SUM(N8:N10)</f>
        <v>2060</v>
      </c>
      <c r="O11" s="1">
        <f>+SUM(O8:O10)</f>
        <v>2309</v>
      </c>
      <c r="Z11" s="1">
        <f>+SUM(Z8:Z10)</f>
        <v>6289</v>
      </c>
      <c r="AA11" s="1">
        <f>+SUM(AA8:AA10)</f>
        <v>7601</v>
      </c>
      <c r="AB11" s="1">
        <f>+SUM(AB8:AB10)</f>
        <v>8484</v>
      </c>
    </row>
    <row r="12" spans="1:38" s="7" customFormat="1" x14ac:dyDescent="0.2">
      <c r="A12" s="7" t="s">
        <v>5</v>
      </c>
      <c r="B12" s="7">
        <f>+B7-B11</f>
        <v>263</v>
      </c>
      <c r="C12" s="7">
        <f>+C7-C11</f>
        <v>219</v>
      </c>
      <c r="D12" s="7">
        <f>+D7-D11</f>
        <v>2558</v>
      </c>
      <c r="E12" s="7">
        <f>+E7-E11</f>
        <v>1131</v>
      </c>
      <c r="F12" s="7">
        <f>+F7-F11</f>
        <v>238</v>
      </c>
      <c r="G12" s="7">
        <f>+G7-G11</f>
        <v>432</v>
      </c>
      <c r="H12" s="7">
        <f>+H7-H11</f>
        <v>2938</v>
      </c>
      <c r="I12" s="7">
        <f>+I7-I11</f>
        <v>179</v>
      </c>
      <c r="J12" s="7">
        <f>+J7-J11</f>
        <v>465</v>
      </c>
      <c r="K12" s="7">
        <f>+K7-K11</f>
        <v>525</v>
      </c>
      <c r="L12" s="7">
        <f>+L7-L11</f>
        <v>3261</v>
      </c>
      <c r="M12" s="7">
        <f>+M7-M11</f>
        <v>231</v>
      </c>
      <c r="N12" s="7">
        <f>+N7-N11</f>
        <v>437</v>
      </c>
      <c r="O12" s="7">
        <f>+O7-O11</f>
        <v>754</v>
      </c>
      <c r="Z12" s="7">
        <f>+Z7-Z11</f>
        <v>4171</v>
      </c>
      <c r="AA12" s="7">
        <f>+AA7-AA11</f>
        <v>3787</v>
      </c>
      <c r="AB12" s="7">
        <f>+AB7-AB11</f>
        <v>4482</v>
      </c>
    </row>
    <row r="13" spans="1:38" x14ac:dyDescent="0.2">
      <c r="A13" s="1" t="s">
        <v>6</v>
      </c>
      <c r="B13" s="1">
        <f>-7+50</f>
        <v>43</v>
      </c>
      <c r="C13" s="1">
        <f>-21-5</f>
        <v>-26</v>
      </c>
      <c r="D13" s="1">
        <f>-21-1</f>
        <v>-22</v>
      </c>
      <c r="E13" s="3">
        <f t="shared" ref="E13" si="4">+Z13-SUM(B13:D13)</f>
        <v>-24</v>
      </c>
      <c r="F13" s="1">
        <f>-49+5</f>
        <v>-44</v>
      </c>
      <c r="G13" s="1">
        <f>-65+23</f>
        <v>-42</v>
      </c>
      <c r="H13" s="1">
        <f>-66+22</f>
        <v>-44</v>
      </c>
      <c r="I13" s="3">
        <f t="shared" ref="I13" si="5">+AA13-SUM(F13:H13)</f>
        <v>-22</v>
      </c>
      <c r="J13" s="1">
        <f>-65+22</f>
        <v>-43</v>
      </c>
      <c r="K13" s="1">
        <f>-57+42</f>
        <v>-15</v>
      </c>
      <c r="L13" s="1">
        <f>-60+27</f>
        <v>-33</v>
      </c>
      <c r="M13" s="3">
        <f t="shared" ref="M13" si="6">+AB13-SUM(J13:L13)</f>
        <v>11</v>
      </c>
      <c r="N13" s="1">
        <f>-60+2</f>
        <v>-58</v>
      </c>
      <c r="O13" s="1">
        <f>-60+38</f>
        <v>-22</v>
      </c>
      <c r="Z13" s="1">
        <f>-81+52</f>
        <v>-29</v>
      </c>
      <c r="AA13" s="1">
        <f>-248+96</f>
        <v>-152</v>
      </c>
      <c r="AB13" s="1">
        <f>-242+162</f>
        <v>-80</v>
      </c>
    </row>
    <row r="14" spans="1:38" x14ac:dyDescent="0.2">
      <c r="A14" s="1" t="s">
        <v>7</v>
      </c>
      <c r="B14" s="1">
        <f>+B12+B13</f>
        <v>306</v>
      </c>
      <c r="C14" s="1">
        <f>+C12+C13</f>
        <v>193</v>
      </c>
      <c r="D14" s="1">
        <f>+D12+D13</f>
        <v>2536</v>
      </c>
      <c r="E14" s="1">
        <f>+E12+E13</f>
        <v>1107</v>
      </c>
      <c r="F14" s="1">
        <f>+F12+F13</f>
        <v>194</v>
      </c>
      <c r="G14" s="1">
        <f>+G12+G13</f>
        <v>390</v>
      </c>
      <c r="H14" s="1">
        <f>+H12+H13</f>
        <v>2894</v>
      </c>
      <c r="I14" s="1">
        <f>+I12+I13</f>
        <v>157</v>
      </c>
      <c r="J14" s="1">
        <f>+J12+J13</f>
        <v>422</v>
      </c>
      <c r="K14" s="1">
        <f>+K12+K13</f>
        <v>510</v>
      </c>
      <c r="L14" s="1">
        <f>+L12+L13</f>
        <v>3228</v>
      </c>
      <c r="M14" s="1">
        <f>+M12+M13</f>
        <v>242</v>
      </c>
      <c r="N14" s="1">
        <f>+N12+N13</f>
        <v>379</v>
      </c>
      <c r="O14" s="1">
        <f>+O12+O13</f>
        <v>732</v>
      </c>
      <c r="Z14" s="1">
        <f>+Z12+Z13</f>
        <v>4142</v>
      </c>
      <c r="AA14" s="1">
        <f>+AA12+AA13</f>
        <v>3635</v>
      </c>
      <c r="AB14" s="1">
        <f>+AB12+AB13</f>
        <v>4402</v>
      </c>
    </row>
    <row r="15" spans="1:38" x14ac:dyDescent="0.2">
      <c r="A15" s="1" t="s">
        <v>8</v>
      </c>
      <c r="B15" s="1">
        <v>10</v>
      </c>
      <c r="C15" s="1">
        <v>-70</v>
      </c>
      <c r="D15" s="1">
        <v>579</v>
      </c>
      <c r="E15" s="3">
        <f t="shared" ref="E15" si="7">+Z15-SUM(B15:D15)</f>
        <v>-43</v>
      </c>
      <c r="F15" s="1">
        <v>-8</v>
      </c>
      <c r="G15" s="1">
        <v>60</v>
      </c>
      <c r="H15" s="1">
        <v>647</v>
      </c>
      <c r="I15" s="3">
        <f t="shared" ref="I15" si="8">+AA15-SUM(F15:H15)</f>
        <v>-94</v>
      </c>
      <c r="J15" s="1">
        <v>23</v>
      </c>
      <c r="K15" s="1">
        <v>1</v>
      </c>
      <c r="L15" s="1">
        <v>683</v>
      </c>
      <c r="M15" s="3">
        <f t="shared" ref="M15" si="9">+AB15-SUM(J15:L15)</f>
        <v>-120</v>
      </c>
      <c r="N15" s="1">
        <v>16</v>
      </c>
      <c r="O15" s="1">
        <v>100</v>
      </c>
      <c r="Z15" s="1">
        <v>476</v>
      </c>
      <c r="AA15" s="1">
        <v>605</v>
      </c>
      <c r="AB15" s="1">
        <v>587</v>
      </c>
    </row>
    <row r="16" spans="1:38" s="7" customFormat="1" x14ac:dyDescent="0.2">
      <c r="A16" s="7" t="s">
        <v>9</v>
      </c>
      <c r="B16" s="7">
        <f>+B14-B15</f>
        <v>296</v>
      </c>
      <c r="C16" s="7">
        <f>+C14-C15</f>
        <v>263</v>
      </c>
      <c r="D16" s="7">
        <f>+D14-D15</f>
        <v>1957</v>
      </c>
      <c r="E16" s="7">
        <f>+E14-E15</f>
        <v>1150</v>
      </c>
      <c r="F16" s="7">
        <f>+F14-F15</f>
        <v>202</v>
      </c>
      <c r="G16" s="7">
        <f>+G14-G15</f>
        <v>330</v>
      </c>
      <c r="H16" s="7">
        <f>+H14-H15</f>
        <v>2247</v>
      </c>
      <c r="I16" s="7">
        <f>+I14-I15</f>
        <v>251</v>
      </c>
      <c r="J16" s="7">
        <f>+J14-J15</f>
        <v>399</v>
      </c>
      <c r="K16" s="7">
        <f>+K14-K15</f>
        <v>509</v>
      </c>
      <c r="L16" s="7">
        <f>+L14-L15</f>
        <v>2545</v>
      </c>
      <c r="M16" s="7">
        <f>+M14-M15</f>
        <v>362</v>
      </c>
      <c r="N16" s="7">
        <f>+N14-N15</f>
        <v>363</v>
      </c>
      <c r="O16" s="7">
        <f>+O14-O15</f>
        <v>632</v>
      </c>
      <c r="Z16" s="7">
        <f>+Z14-Z15</f>
        <v>3666</v>
      </c>
      <c r="AA16" s="7">
        <f>+AA14-AA15</f>
        <v>3030</v>
      </c>
      <c r="AB16" s="7">
        <f>+AB14-AB15</f>
        <v>3815</v>
      </c>
    </row>
    <row r="17" spans="1:28" s="5" customFormat="1" x14ac:dyDescent="0.2">
      <c r="A17" s="5" t="s">
        <v>10</v>
      </c>
      <c r="B17" s="5">
        <f>+B16/B18</f>
        <v>1.0685920577617329</v>
      </c>
      <c r="C17" s="5">
        <f>+C16/C18</f>
        <v>0.93262411347517726</v>
      </c>
      <c r="D17" s="5">
        <f>+D16/D18</f>
        <v>6.9151943462897529</v>
      </c>
      <c r="E17" s="5">
        <f>+E16/E18</f>
        <v>3.9115646258503403</v>
      </c>
      <c r="F17" s="5">
        <f>+F16/F18</f>
        <v>0.71126760563380287</v>
      </c>
      <c r="G17" s="5">
        <f>+G16/G18</f>
        <v>1.1702127659574468</v>
      </c>
      <c r="H17" s="5">
        <f>+H16/H18</f>
        <v>7.9399293286219077</v>
      </c>
      <c r="I17" s="5">
        <f>+I16/I18</f>
        <v>0.88692579505300351</v>
      </c>
      <c r="J17" s="5">
        <f>+J16/J18</f>
        <v>1.425</v>
      </c>
      <c r="K17" s="5">
        <f>+K16/K18</f>
        <v>1.7922535211267605</v>
      </c>
      <c r="L17" s="5">
        <f>+L16/L18</f>
        <v>8.9612676056338021</v>
      </c>
      <c r="M17" s="5">
        <f>+M16/M18</f>
        <v>1.2569444444444444</v>
      </c>
      <c r="N17" s="5">
        <f>+N16/N18</f>
        <v>1.2964285714285715</v>
      </c>
      <c r="O17" s="5">
        <f>+O16/O18</f>
        <v>2.2332155477031801</v>
      </c>
      <c r="Z17" s="5">
        <f>+Z16/Z18</f>
        <v>12.908450704225352</v>
      </c>
      <c r="AA17" s="5">
        <f>+AA16/AA18</f>
        <v>10.706713780918728</v>
      </c>
      <c r="AB17" s="5">
        <f>+AB16/AB18</f>
        <v>13.433098591549296</v>
      </c>
    </row>
    <row r="18" spans="1:28" x14ac:dyDescent="0.2">
      <c r="A18" s="1" t="s">
        <v>11</v>
      </c>
      <c r="B18" s="1">
        <v>277</v>
      </c>
      <c r="C18" s="1">
        <v>282</v>
      </c>
      <c r="D18" s="1">
        <v>283</v>
      </c>
      <c r="E18" s="1">
        <f>+Z18*4-SUM(B18:D18)</f>
        <v>294</v>
      </c>
      <c r="F18" s="1">
        <v>284</v>
      </c>
      <c r="G18" s="1">
        <v>282</v>
      </c>
      <c r="H18" s="1">
        <v>283</v>
      </c>
      <c r="I18" s="1">
        <f>+AA18*4-SUM(F18:H18)</f>
        <v>283</v>
      </c>
      <c r="J18" s="1">
        <v>280</v>
      </c>
      <c r="K18" s="1">
        <v>284</v>
      </c>
      <c r="L18" s="1">
        <v>284</v>
      </c>
      <c r="M18" s="1">
        <f>+AB18*4-SUM(J18:L18)</f>
        <v>288</v>
      </c>
      <c r="N18" s="1">
        <v>280</v>
      </c>
      <c r="O18" s="1">
        <v>283</v>
      </c>
      <c r="Z18" s="1">
        <v>284</v>
      </c>
      <c r="AA18" s="1">
        <v>283</v>
      </c>
      <c r="AB18" s="1">
        <v>284</v>
      </c>
    </row>
    <row r="20" spans="1:28" s="4" customFormat="1" x14ac:dyDescent="0.2">
      <c r="A20" s="4" t="s">
        <v>12</v>
      </c>
      <c r="B20" s="4">
        <f>+B7/B5</f>
        <v>0.79970104633781769</v>
      </c>
      <c r="C20" s="4">
        <f>+C7/C5</f>
        <v>0.80433969322858212</v>
      </c>
      <c r="D20" s="4">
        <f>+D7/D5</f>
        <v>0.86115056818181823</v>
      </c>
      <c r="E20" s="4">
        <f>+E7/E5</f>
        <v>0.76843413421706708</v>
      </c>
      <c r="F20" s="4">
        <f>+F7/F5</f>
        <v>0.75548710050057755</v>
      </c>
      <c r="G20" s="4">
        <f>+G7/G5</f>
        <v>0.75928970733311407</v>
      </c>
      <c r="H20" s="4">
        <f>+H7/H5</f>
        <v>0.84363575938850122</v>
      </c>
      <c r="I20" s="4">
        <f>+I7/I5</f>
        <v>0.75221238938053092</v>
      </c>
      <c r="J20" s="4">
        <f>+J7/J5</f>
        <v>0.7575554063129617</v>
      </c>
      <c r="K20" s="4">
        <f>+K7/K5</f>
        <v>0.75812167749557002</v>
      </c>
      <c r="L20" s="4">
        <f>+L7/L5</f>
        <v>0.8469645242689624</v>
      </c>
      <c r="M20" s="4">
        <f>+M7/M5</f>
        <v>0.76538944723618085</v>
      </c>
      <c r="N20" s="4">
        <f>+N7/N5</f>
        <v>0.76058483094730434</v>
      </c>
      <c r="O20" s="4">
        <f>+O7/O5</f>
        <v>0.77289931869795614</v>
      </c>
      <c r="Z20" s="4">
        <f>+Z7/Z5</f>
        <v>0.82193933679082198</v>
      </c>
      <c r="AA20" s="4">
        <f>+AA7/AA5</f>
        <v>0.79259465478841873</v>
      </c>
      <c r="AB20" s="4">
        <f>+AB7/AB5</f>
        <v>0.79619281547436294</v>
      </c>
    </row>
    <row r="21" spans="1:28" s="4" customFormat="1" x14ac:dyDescent="0.2">
      <c r="A21" s="4" t="s">
        <v>13</v>
      </c>
      <c r="B21" s="4">
        <f>+B12/B5</f>
        <v>0.1310413552566019</v>
      </c>
      <c r="C21" s="4">
        <f>+C12/C5</f>
        <v>8.1930415263748599E-2</v>
      </c>
      <c r="D21" s="4">
        <f>+D12/D5</f>
        <v>0.45419034090909088</v>
      </c>
      <c r="E21" s="4">
        <f>+E12/E5</f>
        <v>0.46851698425849214</v>
      </c>
      <c r="F21" s="4">
        <f>+F12/F5</f>
        <v>9.1644204851752023E-2</v>
      </c>
      <c r="G21" s="4">
        <f>+G12/G5</f>
        <v>0.14205853337717855</v>
      </c>
      <c r="H21" s="4">
        <f>+H12/H5</f>
        <v>0.48820206048521103</v>
      </c>
      <c r="I21" s="4">
        <f>+I12/I5</f>
        <v>6.6002949852507375E-2</v>
      </c>
      <c r="J21" s="4">
        <f>+J12/J5</f>
        <v>0.15614506380120888</v>
      </c>
      <c r="K21" s="4">
        <f>+K12/K5</f>
        <v>0.15505020673360898</v>
      </c>
      <c r="L21" s="4">
        <f>+L12/L5</f>
        <v>0.48404334273415467</v>
      </c>
      <c r="M21" s="4">
        <f>+M12/M5</f>
        <v>7.2550251256281409E-2</v>
      </c>
      <c r="N21" s="4">
        <f>+N12/N5</f>
        <v>0.13310996040207126</v>
      </c>
      <c r="O21" s="4">
        <f>+O12/O5</f>
        <v>0.19025990411304566</v>
      </c>
      <c r="Z21" s="4">
        <f>+Z12/Z5</f>
        <v>0.32775420399182775</v>
      </c>
      <c r="AA21" s="4">
        <f>+AA12/AA5</f>
        <v>0.26357182628062359</v>
      </c>
      <c r="AB21" s="4">
        <f>+AB12/AB5</f>
        <v>0.27522259748234573</v>
      </c>
    </row>
    <row r="22" spans="1:28" s="4" customFormat="1" x14ac:dyDescent="0.2">
      <c r="A22" s="4" t="s">
        <v>14</v>
      </c>
      <c r="B22" s="4">
        <f>+B16/B5</f>
        <v>0.1474838066766318</v>
      </c>
      <c r="C22" s="4">
        <f>+C16/C5</f>
        <v>9.8391320613542832E-2</v>
      </c>
      <c r="D22" s="4">
        <f>+D16/D5</f>
        <v>0.34747869318181818</v>
      </c>
      <c r="E22" s="4">
        <f>+E16/E5</f>
        <v>0.47638773819386909</v>
      </c>
      <c r="F22" s="4">
        <f>+F16/F5</f>
        <v>7.7782056218713896E-2</v>
      </c>
      <c r="G22" s="4">
        <f>+G16/G5</f>
        <v>0.10851693521867807</v>
      </c>
      <c r="H22" s="4">
        <f>+H16/H5</f>
        <v>0.37337986041874377</v>
      </c>
      <c r="I22" s="4">
        <f>+I16/I5</f>
        <v>9.2551622418879056E-2</v>
      </c>
      <c r="J22" s="4">
        <f>+J16/J5</f>
        <v>0.13398253861652115</v>
      </c>
      <c r="K22" s="4">
        <f>+K16/K5</f>
        <v>0.15032486709982279</v>
      </c>
      <c r="L22" s="4">
        <f>+L16/L5</f>
        <v>0.37776458364257087</v>
      </c>
      <c r="M22" s="4">
        <f>+M16/M5</f>
        <v>0.11369346733668342</v>
      </c>
      <c r="N22" s="4">
        <f>+N16/N5</f>
        <v>0.11056960097471824</v>
      </c>
      <c r="O22" s="4">
        <f>+O16/O5</f>
        <v>0.15947514509210195</v>
      </c>
      <c r="Z22" s="4">
        <f>+Z16/Z5</f>
        <v>0.28807166430928804</v>
      </c>
      <c r="AA22" s="4">
        <f>+AA16/AA5</f>
        <v>0.21088530066815145</v>
      </c>
      <c r="AB22" s="4">
        <f>+AB16/AB5</f>
        <v>0.23426466073073379</v>
      </c>
    </row>
    <row r="23" spans="1:28" s="4" customFormat="1" x14ac:dyDescent="0.2">
      <c r="A23" s="4" t="s">
        <v>15</v>
      </c>
      <c r="B23" s="4">
        <f>+B15/B14</f>
        <v>3.2679738562091505E-2</v>
      </c>
      <c r="C23" s="4">
        <f>+C15/C14</f>
        <v>-0.36269430051813473</v>
      </c>
      <c r="D23" s="4">
        <f>+D15/D14</f>
        <v>0.22831230283911672</v>
      </c>
      <c r="E23" s="4">
        <f>+E15/E14</f>
        <v>-3.8843721770551037E-2</v>
      </c>
      <c r="F23" s="4">
        <f>+F15/F14</f>
        <v>-4.1237113402061855E-2</v>
      </c>
      <c r="G23" s="4">
        <f>+G15/G14</f>
        <v>0.15384615384615385</v>
      </c>
      <c r="H23" s="4">
        <f>+H15/H14</f>
        <v>0.22356599861783</v>
      </c>
      <c r="I23" s="4">
        <f>+I15/I14</f>
        <v>-0.59872611464968151</v>
      </c>
      <c r="J23" s="4">
        <f>+J15/J14</f>
        <v>5.4502369668246446E-2</v>
      </c>
      <c r="K23" s="4">
        <f>+K15/K14</f>
        <v>1.9607843137254902E-3</v>
      </c>
      <c r="L23" s="4">
        <f>+L15/L14</f>
        <v>0.21158612143742256</v>
      </c>
      <c r="M23" s="4">
        <f>+M15/M14</f>
        <v>-0.49586776859504134</v>
      </c>
      <c r="N23" s="4">
        <f>+N15/N14</f>
        <v>4.221635883905013E-2</v>
      </c>
      <c r="O23" s="4">
        <f>+O15/O14</f>
        <v>0.13661202185792351</v>
      </c>
      <c r="Z23" s="4">
        <f>+Z15/Z14</f>
        <v>0.11492032834379527</v>
      </c>
      <c r="AA23" s="4">
        <f>+AA15/AA14</f>
        <v>0.16643741403026135</v>
      </c>
      <c r="AB23" s="4">
        <f>+AB15/AB14</f>
        <v>0.13334847796456156</v>
      </c>
    </row>
    <row r="24" spans="1:28" s="4" customFormat="1" x14ac:dyDescent="0.2"/>
    <row r="25" spans="1:28" s="8" customFormat="1" x14ac:dyDescent="0.2">
      <c r="A25" s="8" t="s">
        <v>16</v>
      </c>
      <c r="F25" s="8">
        <f t="shared" ref="F25:N25" si="10">+F5/B5-1</f>
        <v>0.29397110114598912</v>
      </c>
      <c r="G25" s="8">
        <f t="shared" si="10"/>
        <v>0.13767302656191549</v>
      </c>
      <c r="H25" s="8">
        <f t="shared" si="10"/>
        <v>6.8536931818181879E-2</v>
      </c>
      <c r="I25" s="8">
        <f t="shared" si="10"/>
        <v>0.12344656172328095</v>
      </c>
      <c r="J25" s="8">
        <f t="shared" si="10"/>
        <v>0.14670773969965345</v>
      </c>
      <c r="K25" s="8">
        <f t="shared" si="10"/>
        <v>0.11344952318316337</v>
      </c>
      <c r="L25" s="8">
        <f t="shared" si="10"/>
        <v>0.11947490860751087</v>
      </c>
      <c r="M25" s="8">
        <f t="shared" si="10"/>
        <v>0.17404129793510315</v>
      </c>
      <c r="N25" s="8">
        <f t="shared" si="10"/>
        <v>0.10241773002014765</v>
      </c>
      <c r="O25" s="8">
        <f>+O5/K5-1</f>
        <v>0.1704075605434141</v>
      </c>
      <c r="Z25" s="8" t="e">
        <f>+Z5/Y5-1</f>
        <v>#DIV/0!</v>
      </c>
      <c r="AA25" s="8">
        <f>+AA5/Z5-1</f>
        <v>0.1290271884331291</v>
      </c>
      <c r="AB25" s="8">
        <f>+AB5/AA5-1</f>
        <v>0.13342149220489974</v>
      </c>
    </row>
    <row r="27" spans="1:28" x14ac:dyDescent="0.2">
      <c r="A27" s="1" t="s">
        <v>44</v>
      </c>
      <c r="O27" s="1">
        <f>+O28-O40</f>
        <v>-2337</v>
      </c>
    </row>
    <row r="28" spans="1:28" x14ac:dyDescent="0.2">
      <c r="A28" s="1" t="s">
        <v>31</v>
      </c>
      <c r="O28" s="1">
        <f>2435+24+1376+88</f>
        <v>3923</v>
      </c>
    </row>
    <row r="29" spans="1:28" x14ac:dyDescent="0.2">
      <c r="A29" s="1" t="s">
        <v>45</v>
      </c>
      <c r="O29" s="1">
        <v>1017</v>
      </c>
    </row>
    <row r="30" spans="1:28" x14ac:dyDescent="0.2">
      <c r="A30" s="1" t="s">
        <v>46</v>
      </c>
      <c r="O30" s="1">
        <v>14</v>
      </c>
    </row>
    <row r="31" spans="1:28" x14ac:dyDescent="0.2">
      <c r="A31" s="1" t="s">
        <v>8</v>
      </c>
      <c r="O31" s="1">
        <v>90</v>
      </c>
    </row>
    <row r="32" spans="1:28" x14ac:dyDescent="0.2">
      <c r="A32" s="1" t="s">
        <v>47</v>
      </c>
      <c r="O32" s="1">
        <v>845</v>
      </c>
    </row>
    <row r="33" spans="1:15" x14ac:dyDescent="0.2">
      <c r="A33" s="1" t="s">
        <v>48</v>
      </c>
      <c r="O33" s="1">
        <v>3334</v>
      </c>
    </row>
    <row r="34" spans="1:15" x14ac:dyDescent="0.2">
      <c r="A34" s="1" t="s">
        <v>50</v>
      </c>
      <c r="O34" s="1">
        <v>992</v>
      </c>
    </row>
    <row r="35" spans="1:15" x14ac:dyDescent="0.2">
      <c r="A35" s="1" t="s">
        <v>51</v>
      </c>
      <c r="O35" s="1">
        <v>518</v>
      </c>
    </row>
    <row r="36" spans="1:15" x14ac:dyDescent="0.2">
      <c r="A36" s="1" t="s">
        <v>52</v>
      </c>
      <c r="O36" s="1">
        <f>13841+5505</f>
        <v>19346</v>
      </c>
    </row>
    <row r="37" spans="1:15" x14ac:dyDescent="0.2">
      <c r="A37" s="1" t="s">
        <v>53</v>
      </c>
      <c r="O37" s="1">
        <v>934</v>
      </c>
    </row>
    <row r="38" spans="1:15" x14ac:dyDescent="0.2">
      <c r="A38" s="1" t="s">
        <v>54</v>
      </c>
      <c r="O38" s="1">
        <v>669</v>
      </c>
    </row>
    <row r="39" spans="1:15" s="7" customFormat="1" x14ac:dyDescent="0.2">
      <c r="A39" s="7" t="s">
        <v>49</v>
      </c>
      <c r="O39" s="7">
        <f>+SUM(O28:O38)</f>
        <v>31682</v>
      </c>
    </row>
    <row r="40" spans="1:15" s="10" customFormat="1" x14ac:dyDescent="0.2">
      <c r="A40" s="10" t="s">
        <v>32</v>
      </c>
      <c r="O40" s="10">
        <f>500+5760</f>
        <v>6260</v>
      </c>
    </row>
    <row r="41" spans="1:15" x14ac:dyDescent="0.2">
      <c r="A41" s="1" t="s">
        <v>55</v>
      </c>
      <c r="O41" s="1">
        <v>1038</v>
      </c>
    </row>
    <row r="42" spans="1:15" x14ac:dyDescent="0.2">
      <c r="A42" s="1" t="s">
        <v>56</v>
      </c>
      <c r="O42" s="1">
        <v>623</v>
      </c>
    </row>
    <row r="43" spans="1:15" x14ac:dyDescent="0.2">
      <c r="A43" s="1" t="s">
        <v>57</v>
      </c>
      <c r="O43" s="1">
        <v>1025</v>
      </c>
    </row>
    <row r="44" spans="1:15" x14ac:dyDescent="0.2">
      <c r="A44" s="1" t="s">
        <v>58</v>
      </c>
      <c r="O44" s="1">
        <v>659</v>
      </c>
    </row>
    <row r="45" spans="1:15" x14ac:dyDescent="0.2">
      <c r="A45" s="1" t="s">
        <v>59</v>
      </c>
      <c r="O45" s="1">
        <v>3334</v>
      </c>
    </row>
    <row r="46" spans="1:15" x14ac:dyDescent="0.2">
      <c r="A46" s="1" t="s">
        <v>51</v>
      </c>
      <c r="O46" s="1">
        <v>573</v>
      </c>
    </row>
    <row r="47" spans="1:15" x14ac:dyDescent="0.2">
      <c r="A47" s="1" t="s">
        <v>60</v>
      </c>
      <c r="O47" s="1">
        <v>221</v>
      </c>
    </row>
    <row r="48" spans="1:15" s="7" customFormat="1" x14ac:dyDescent="0.2">
      <c r="A48" s="7" t="s">
        <v>61</v>
      </c>
      <c r="O48" s="7">
        <f>+SUM(O40:O47)</f>
        <v>13733</v>
      </c>
    </row>
    <row r="49" spans="1:28" x14ac:dyDescent="0.2">
      <c r="A49" s="1" t="s">
        <v>62</v>
      </c>
      <c r="O49" s="1">
        <v>17949</v>
      </c>
    </row>
    <row r="50" spans="1:28" x14ac:dyDescent="0.2">
      <c r="A50" s="1" t="s">
        <v>63</v>
      </c>
      <c r="O50" s="1">
        <f>+O49+O48</f>
        <v>31682</v>
      </c>
    </row>
    <row r="52" spans="1:28" x14ac:dyDescent="0.2">
      <c r="A52" s="1" t="s">
        <v>64</v>
      </c>
      <c r="O52" s="1">
        <f>+SUM(L16:O16)</f>
        <v>3902</v>
      </c>
    </row>
    <row r="53" spans="1:28" s="4" customFormat="1" x14ac:dyDescent="0.2">
      <c r="A53" s="4" t="s">
        <v>65</v>
      </c>
      <c r="O53" s="4">
        <f>+O52/(O29+O30+O31+O32+O33+O34+O35+O37+O38)</f>
        <v>0.46380601450136694</v>
      </c>
    </row>
    <row r="55" spans="1:28" x14ac:dyDescent="0.2">
      <c r="A55" s="1" t="s">
        <v>66</v>
      </c>
      <c r="J55" s="1">
        <f t="shared" ref="J55:M55" si="11">+J16</f>
        <v>399</v>
      </c>
      <c r="K55" s="1">
        <f t="shared" si="11"/>
        <v>509</v>
      </c>
      <c r="L55" s="1">
        <f t="shared" si="11"/>
        <v>2545</v>
      </c>
      <c r="M55" s="1">
        <f t="shared" si="11"/>
        <v>362</v>
      </c>
      <c r="N55" s="1">
        <f>+N16</f>
        <v>363</v>
      </c>
      <c r="O55" s="1">
        <f>+O16</f>
        <v>632</v>
      </c>
      <c r="AB55" s="1">
        <f>+AB16</f>
        <v>3815</v>
      </c>
    </row>
    <row r="56" spans="1:28" x14ac:dyDescent="0.2">
      <c r="A56" s="1" t="s">
        <v>67</v>
      </c>
      <c r="J56" s="1">
        <v>241</v>
      </c>
      <c r="K56" s="1">
        <f>594-J56</f>
        <v>353</v>
      </c>
      <c r="L56" s="1">
        <f>2983-SUM(J56:K56)</f>
        <v>2389</v>
      </c>
      <c r="M56" s="1">
        <f>+AB56-SUM(J56:L56)</f>
        <v>-20</v>
      </c>
      <c r="N56" s="1">
        <v>197</v>
      </c>
      <c r="O56" s="1">
        <f>668-N56</f>
        <v>471</v>
      </c>
      <c r="AB56" s="1">
        <v>2963</v>
      </c>
    </row>
    <row r="57" spans="1:28" x14ac:dyDescent="0.2">
      <c r="A57" s="1" t="s">
        <v>68</v>
      </c>
      <c r="J57" s="1">
        <f>33+158</f>
        <v>191</v>
      </c>
      <c r="K57" s="1">
        <f>69+314-J57</f>
        <v>192</v>
      </c>
      <c r="L57" s="1">
        <f>111+470-SUM(J57:K57)</f>
        <v>198</v>
      </c>
      <c r="M57" s="1">
        <f t="shared" ref="M57:M72" si="12">+AB57-SUM(J57:L57)</f>
        <v>208</v>
      </c>
      <c r="N57" s="1">
        <f>44+157</f>
        <v>201</v>
      </c>
      <c r="O57" s="1">
        <f>86+314-N57</f>
        <v>199</v>
      </c>
      <c r="AB57" s="1">
        <f>159+630</f>
        <v>789</v>
      </c>
    </row>
    <row r="58" spans="1:28" x14ac:dyDescent="0.2">
      <c r="A58" s="1" t="s">
        <v>69</v>
      </c>
      <c r="J58" s="1">
        <v>22</v>
      </c>
      <c r="K58" s="1">
        <f>43-J58</f>
        <v>21</v>
      </c>
      <c r="L58" s="1">
        <f>63-SUM(J58:K58)</f>
        <v>20</v>
      </c>
      <c r="M58" s="1">
        <f t="shared" si="12"/>
        <v>18</v>
      </c>
      <c r="N58" s="1">
        <v>19</v>
      </c>
      <c r="O58" s="1">
        <f>37-N58</f>
        <v>18</v>
      </c>
      <c r="AB58" s="1">
        <v>81</v>
      </c>
    </row>
    <row r="59" spans="1:28" x14ac:dyDescent="0.2">
      <c r="A59" s="1" t="s">
        <v>70</v>
      </c>
      <c r="J59" s="1">
        <v>495</v>
      </c>
      <c r="K59" s="1">
        <f>970-J59</f>
        <v>475</v>
      </c>
      <c r="L59" s="1">
        <f>1421-SUM(J59:K59)</f>
        <v>451</v>
      </c>
      <c r="M59" s="1">
        <f t="shared" si="12"/>
        <v>519</v>
      </c>
      <c r="N59" s="1">
        <v>511</v>
      </c>
      <c r="O59" s="1">
        <f>1009-N59</f>
        <v>498</v>
      </c>
      <c r="AB59" s="1">
        <v>1940</v>
      </c>
    </row>
    <row r="60" spans="1:28" x14ac:dyDescent="0.2">
      <c r="A60" s="1" t="s">
        <v>53</v>
      </c>
      <c r="J60" s="1">
        <v>-126</v>
      </c>
      <c r="K60" s="1">
        <f>-310-J60</f>
        <v>-184</v>
      </c>
      <c r="L60" s="1">
        <f>-361-SUM(J60:K60)</f>
        <v>-51</v>
      </c>
      <c r="M60" s="1">
        <f t="shared" si="12"/>
        <v>-193</v>
      </c>
      <c r="N60" s="1">
        <v>-91</v>
      </c>
      <c r="O60" s="1">
        <f>-227-N60</f>
        <v>-136</v>
      </c>
      <c r="AB60" s="1">
        <v>-554</v>
      </c>
    </row>
    <row r="61" spans="1:28" x14ac:dyDescent="0.2">
      <c r="A61" s="1" t="s">
        <v>54</v>
      </c>
      <c r="J61" s="1">
        <v>28</v>
      </c>
      <c r="K61" s="1">
        <f>55-J61</f>
        <v>27</v>
      </c>
      <c r="L61" s="1">
        <f>69-SUM(J61:K61)</f>
        <v>14</v>
      </c>
      <c r="M61" s="1">
        <f t="shared" si="12"/>
        <v>23</v>
      </c>
      <c r="N61" s="1">
        <v>63</v>
      </c>
      <c r="O61" s="1">
        <f>99-N61</f>
        <v>36</v>
      </c>
      <c r="AB61" s="1">
        <v>92</v>
      </c>
    </row>
    <row r="62" spans="1:28" x14ac:dyDescent="0.2">
      <c r="A62" s="1" t="s">
        <v>71</v>
      </c>
      <c r="J62" s="1">
        <v>-44</v>
      </c>
      <c r="K62" s="1">
        <f>-96-J62</f>
        <v>-52</v>
      </c>
      <c r="L62" s="1">
        <f>-96-SUM(J62:K62)</f>
        <v>0</v>
      </c>
      <c r="M62" s="1">
        <f t="shared" si="12"/>
        <v>0</v>
      </c>
      <c r="N62" s="1">
        <v>0</v>
      </c>
      <c r="O62" s="1">
        <v>0</v>
      </c>
      <c r="AB62" s="1">
        <v>-96</v>
      </c>
    </row>
    <row r="63" spans="1:28" x14ac:dyDescent="0.2">
      <c r="A63" s="1" t="s">
        <v>72</v>
      </c>
      <c r="J63" s="1">
        <v>35</v>
      </c>
      <c r="K63" s="1">
        <f>76-J63</f>
        <v>41</v>
      </c>
      <c r="L63" s="1">
        <f>98-SUM(J63:K63)</f>
        <v>22</v>
      </c>
      <c r="M63" s="1">
        <f t="shared" si="12"/>
        <v>0</v>
      </c>
      <c r="N63" s="1">
        <v>0</v>
      </c>
      <c r="O63" s="1">
        <v>0</v>
      </c>
      <c r="AB63" s="1">
        <v>98</v>
      </c>
    </row>
    <row r="64" spans="1:28" x14ac:dyDescent="0.2">
      <c r="A64" s="1" t="s">
        <v>45</v>
      </c>
      <c r="J64" s="1">
        <v>33</v>
      </c>
      <c r="K64" s="1">
        <f>-522-J64</f>
        <v>-555</v>
      </c>
      <c r="L64" s="1">
        <f>-384-SUM(J64:K64)</f>
        <v>138</v>
      </c>
      <c r="M64" s="1">
        <f t="shared" si="12"/>
        <v>332</v>
      </c>
      <c r="N64" s="1">
        <v>31</v>
      </c>
      <c r="O64" s="1">
        <f>-560-N64</f>
        <v>-591</v>
      </c>
      <c r="AB64" s="1">
        <v>-52</v>
      </c>
    </row>
    <row r="65" spans="1:28" x14ac:dyDescent="0.2">
      <c r="A65" s="1" t="s">
        <v>74</v>
      </c>
      <c r="J65" s="1">
        <v>12</v>
      </c>
      <c r="K65" s="1">
        <f>-97-J65</f>
        <v>-109</v>
      </c>
      <c r="L65" s="1">
        <f>25-SUM(J65:K65)</f>
        <v>122</v>
      </c>
      <c r="M65" s="1">
        <f t="shared" si="12"/>
        <v>-73</v>
      </c>
      <c r="N65" s="1">
        <v>51</v>
      </c>
      <c r="O65" s="1">
        <f>-13-N65</f>
        <v>-64</v>
      </c>
      <c r="AB65" s="1">
        <v>-48</v>
      </c>
    </row>
    <row r="66" spans="1:28" x14ac:dyDescent="0.2">
      <c r="A66" s="1" t="s">
        <v>47</v>
      </c>
      <c r="J66" s="1">
        <v>-33</v>
      </c>
      <c r="K66" s="1">
        <f>-4-J66</f>
        <v>29</v>
      </c>
      <c r="L66" s="1">
        <f>18-SUM(J66:K66)</f>
        <v>22</v>
      </c>
      <c r="M66" s="1">
        <f t="shared" si="12"/>
        <v>-48</v>
      </c>
      <c r="N66" s="1">
        <v>-27</v>
      </c>
      <c r="O66" s="1">
        <f>-208-N66</f>
        <v>-181</v>
      </c>
      <c r="AB66" s="1">
        <v>-30</v>
      </c>
    </row>
    <row r="67" spans="1:28" x14ac:dyDescent="0.2">
      <c r="A67" s="1" t="s">
        <v>55</v>
      </c>
      <c r="J67" s="1">
        <v>-5</v>
      </c>
      <c r="K67" s="1">
        <f>151-J67</f>
        <v>156</v>
      </c>
      <c r="L67" s="1">
        <f>286-SUM(J67:K67)</f>
        <v>135</v>
      </c>
      <c r="M67" s="1">
        <f t="shared" si="12"/>
        <v>-153</v>
      </c>
      <c r="N67" s="1">
        <v>-75</v>
      </c>
      <c r="O67" s="1">
        <f>319-N67</f>
        <v>394</v>
      </c>
      <c r="AB67" s="1">
        <v>133</v>
      </c>
    </row>
    <row r="68" spans="1:28" x14ac:dyDescent="0.2">
      <c r="A68" s="1" t="s">
        <v>56</v>
      </c>
      <c r="J68" s="1">
        <v>-232</v>
      </c>
      <c r="K68" s="1">
        <f>-119-J68</f>
        <v>113</v>
      </c>
      <c r="L68" s="1">
        <f>20-SUM(J68:K68)</f>
        <v>139</v>
      </c>
      <c r="M68" s="1">
        <f t="shared" si="12"/>
        <v>237</v>
      </c>
      <c r="N68" s="1">
        <v>-507</v>
      </c>
      <c r="O68" s="1">
        <f>-300-N68</f>
        <v>207</v>
      </c>
      <c r="AB68" s="1">
        <v>257</v>
      </c>
    </row>
    <row r="69" spans="1:28" x14ac:dyDescent="0.2">
      <c r="A69" s="1" t="s">
        <v>57</v>
      </c>
      <c r="J69" s="1">
        <v>-159</v>
      </c>
      <c r="K69" s="1">
        <f>-37-J69</f>
        <v>122</v>
      </c>
      <c r="L69" s="1">
        <f>-79-SUM(J69:K69)</f>
        <v>-42</v>
      </c>
      <c r="M69" s="1">
        <f t="shared" si="12"/>
        <v>30</v>
      </c>
      <c r="N69" s="1">
        <v>19</v>
      </c>
      <c r="O69" s="1">
        <f>154-N69</f>
        <v>135</v>
      </c>
      <c r="AB69" s="1">
        <v>-49</v>
      </c>
    </row>
    <row r="70" spans="1:28" x14ac:dyDescent="0.2">
      <c r="A70" s="1" t="s">
        <v>73</v>
      </c>
      <c r="J70" s="1">
        <v>-565</v>
      </c>
      <c r="K70" s="1">
        <f>-697-J70</f>
        <v>-132</v>
      </c>
      <c r="L70" s="1">
        <f>-262-SUM(J70:K70)</f>
        <v>435</v>
      </c>
      <c r="M70" s="1">
        <f t="shared" si="12"/>
        <v>191</v>
      </c>
      <c r="N70" s="1">
        <v>12</v>
      </c>
      <c r="O70" s="1">
        <f>22-N70</f>
        <v>10</v>
      </c>
      <c r="AB70" s="1">
        <v>-71</v>
      </c>
    </row>
    <row r="71" spans="1:28" x14ac:dyDescent="0.2">
      <c r="A71" s="1" t="s">
        <v>51</v>
      </c>
      <c r="J71" s="1">
        <v>-20</v>
      </c>
      <c r="K71" s="1">
        <f>-33-J71</f>
        <v>-13</v>
      </c>
      <c r="L71" s="1">
        <f>-45-SUM(J71:K71)</f>
        <v>-12</v>
      </c>
      <c r="M71" s="1">
        <f t="shared" si="12"/>
        <v>-646</v>
      </c>
      <c r="N71" s="1">
        <v>-22</v>
      </c>
      <c r="O71" s="1">
        <f>-46-N71</f>
        <v>-24</v>
      </c>
      <c r="AB71" s="1">
        <v>-691</v>
      </c>
    </row>
    <row r="72" spans="1:28" x14ac:dyDescent="0.2">
      <c r="A72" s="1" t="s">
        <v>54</v>
      </c>
      <c r="J72" s="1">
        <v>30</v>
      </c>
      <c r="K72" s="1">
        <f>159-J72</f>
        <v>129</v>
      </c>
      <c r="L72" s="1">
        <f>130-SUM(J72:K72)</f>
        <v>-29</v>
      </c>
      <c r="M72" s="1">
        <f t="shared" si="12"/>
        <v>-8</v>
      </c>
      <c r="N72" s="1">
        <v>-20</v>
      </c>
      <c r="O72" s="1">
        <f>77-N72</f>
        <v>97</v>
      </c>
      <c r="AB72" s="1">
        <v>122</v>
      </c>
    </row>
    <row r="73" spans="1:28" x14ac:dyDescent="0.2">
      <c r="A73" s="1" t="s">
        <v>75</v>
      </c>
      <c r="J73" s="1">
        <f>+SUM(J64:J72)</f>
        <v>-939</v>
      </c>
      <c r="K73" s="1">
        <f t="shared" ref="K73:M73" si="13">+SUM(K64:K72)</f>
        <v>-260</v>
      </c>
      <c r="L73" s="1">
        <f t="shared" si="13"/>
        <v>908</v>
      </c>
      <c r="M73" s="1">
        <f t="shared" si="13"/>
        <v>-138</v>
      </c>
      <c r="N73" s="1">
        <f>+SUM(N64:N72)</f>
        <v>-538</v>
      </c>
      <c r="O73" s="1">
        <f>+SUM(O64:O72)</f>
        <v>-17</v>
      </c>
      <c r="AB73" s="1">
        <f>+SUM(AB64:AB72)</f>
        <v>-429</v>
      </c>
    </row>
    <row r="74" spans="1:28" s="7" customFormat="1" x14ac:dyDescent="0.2">
      <c r="A74" s="7" t="s">
        <v>76</v>
      </c>
      <c r="J74" s="7">
        <f t="shared" ref="J74:M74" si="14">+J73+SUM(J56:J63)</f>
        <v>-97</v>
      </c>
      <c r="K74" s="7">
        <f t="shared" si="14"/>
        <v>613</v>
      </c>
      <c r="L74" s="7">
        <f t="shared" si="14"/>
        <v>3951</v>
      </c>
      <c r="M74" s="7">
        <f t="shared" si="14"/>
        <v>417</v>
      </c>
      <c r="N74" s="7">
        <f>+N73+SUM(N56:N63)</f>
        <v>362</v>
      </c>
      <c r="O74" s="7">
        <f>+O73+SUM(O56:O63)</f>
        <v>1069</v>
      </c>
      <c r="AB74" s="7">
        <f>+AB73+SUM(AB56:AB63)</f>
        <v>4884</v>
      </c>
    </row>
    <row r="76" spans="1:28" x14ac:dyDescent="0.2">
      <c r="A76" s="1" t="s">
        <v>77</v>
      </c>
      <c r="J76" s="1">
        <f>-92+94+301</f>
        <v>303</v>
      </c>
      <c r="K76" s="1">
        <f>-92+490+456-J76</f>
        <v>551</v>
      </c>
      <c r="L76" s="1">
        <f>-564+491+489-SUM(J76:K76)</f>
        <v>-438</v>
      </c>
      <c r="M76" s="1">
        <f t="shared" ref="M76:M80" si="15">+AB76-SUM(J76:L76)</f>
        <v>6</v>
      </c>
      <c r="N76" s="1">
        <f>-306+55+235</f>
        <v>-16</v>
      </c>
      <c r="O76" s="1">
        <f>-321+133+637-N76</f>
        <v>465</v>
      </c>
      <c r="AB76" s="1">
        <f>-780+526+676</f>
        <v>422</v>
      </c>
    </row>
    <row r="77" spans="1:28" x14ac:dyDescent="0.2">
      <c r="A77" s="1" t="s">
        <v>78</v>
      </c>
      <c r="J77" s="1">
        <v>-84</v>
      </c>
      <c r="K77" s="1">
        <f>-147-J77</f>
        <v>-63</v>
      </c>
      <c r="L77" s="1">
        <f>-208-SUM(J77:K77)</f>
        <v>-61</v>
      </c>
      <c r="M77" s="1">
        <f t="shared" si="15"/>
        <v>-42</v>
      </c>
      <c r="N77" s="1">
        <v>-33</v>
      </c>
      <c r="O77" s="1">
        <f>-64-N77</f>
        <v>-31</v>
      </c>
      <c r="AB77" s="1">
        <f>-191-59</f>
        <v>-250</v>
      </c>
    </row>
    <row r="78" spans="1:28" x14ac:dyDescent="0.2">
      <c r="A78" s="1" t="s">
        <v>90</v>
      </c>
      <c r="J78" s="1">
        <v>0</v>
      </c>
      <c r="K78" s="1">
        <v>0</v>
      </c>
      <c r="L78" s="1">
        <v>0</v>
      </c>
      <c r="M78" s="1">
        <f t="shared" si="15"/>
        <v>-83</v>
      </c>
      <c r="N78" s="1">
        <v>0</v>
      </c>
      <c r="O78" s="1">
        <v>0</v>
      </c>
      <c r="AB78" s="1">
        <v>-83</v>
      </c>
    </row>
    <row r="79" spans="1:28" x14ac:dyDescent="0.2">
      <c r="A79" s="1" t="s">
        <v>79</v>
      </c>
      <c r="J79" s="1">
        <f>-377+258</f>
        <v>-119</v>
      </c>
      <c r="K79" s="1">
        <f>-1140+709-J79</f>
        <v>-312</v>
      </c>
      <c r="L79" s="1">
        <f>-1926+101+1688-SUM(J79:K79)</f>
        <v>294</v>
      </c>
      <c r="M79" s="1">
        <f t="shared" si="15"/>
        <v>-99</v>
      </c>
      <c r="N79" s="1">
        <f>-666+110+420</f>
        <v>-136</v>
      </c>
      <c r="O79" s="1">
        <f>-1825+246+924-N79</f>
        <v>-519</v>
      </c>
      <c r="AB79" s="1">
        <f>-2538+234+2068</f>
        <v>-236</v>
      </c>
    </row>
    <row r="80" spans="1:28" x14ac:dyDescent="0.2">
      <c r="A80" s="1" t="s">
        <v>54</v>
      </c>
      <c r="J80" s="1">
        <v>10</v>
      </c>
      <c r="K80" s="1">
        <f>-32-J80</f>
        <v>-42</v>
      </c>
      <c r="L80" s="1">
        <f>-46-SUM(J80:K80)</f>
        <v>-14</v>
      </c>
      <c r="M80" s="1">
        <f t="shared" si="15"/>
        <v>-34</v>
      </c>
      <c r="N80" s="1">
        <v>-3</v>
      </c>
      <c r="O80" s="1">
        <f>-407-N80</f>
        <v>-404</v>
      </c>
      <c r="AB80" s="1">
        <v>-80</v>
      </c>
    </row>
    <row r="81" spans="1:28" x14ac:dyDescent="0.2">
      <c r="A81" s="1" t="s">
        <v>80</v>
      </c>
      <c r="J81" s="1">
        <f t="shared" ref="J81:M81" si="16">+SUM(J76:J80)</f>
        <v>110</v>
      </c>
      <c r="K81" s="1">
        <f t="shared" si="16"/>
        <v>134</v>
      </c>
      <c r="L81" s="1">
        <f t="shared" si="16"/>
        <v>-219</v>
      </c>
      <c r="M81" s="1">
        <f t="shared" si="16"/>
        <v>-252</v>
      </c>
      <c r="N81" s="1">
        <f>+SUM(N76:N80)</f>
        <v>-188</v>
      </c>
      <c r="O81" s="1">
        <f>+SUM(O76:O80)</f>
        <v>-489</v>
      </c>
      <c r="AB81" s="1">
        <f>+SUM(AB76:AB80)</f>
        <v>-227</v>
      </c>
    </row>
    <row r="83" spans="1:28" x14ac:dyDescent="0.2">
      <c r="A83" s="1" t="s">
        <v>32</v>
      </c>
      <c r="J83" s="1">
        <f>3956-4200</f>
        <v>-244</v>
      </c>
      <c r="K83" s="1">
        <f>3956-4200+100-100+95-25-J83</f>
        <v>70</v>
      </c>
      <c r="L83" s="1">
        <f>3956-4200+100-100+95-25-SUM(J83:K83)</f>
        <v>0</v>
      </c>
      <c r="M83" s="1">
        <f t="shared" ref="M83:M91" si="17">+AB83-SUM(J83:L83)</f>
        <v>85</v>
      </c>
      <c r="N83" s="1">
        <v>85</v>
      </c>
      <c r="O83" s="1">
        <f>219-N83</f>
        <v>134</v>
      </c>
      <c r="AB83" s="1">
        <f>3956-4200+100-100+180-25</f>
        <v>-89</v>
      </c>
    </row>
    <row r="84" spans="1:28" x14ac:dyDescent="0.2">
      <c r="A84" s="1" t="s">
        <v>81</v>
      </c>
      <c r="J84" s="1">
        <v>92</v>
      </c>
      <c r="K84" s="1">
        <f>169-J84</f>
        <v>77</v>
      </c>
      <c r="L84" s="1">
        <f>226-SUM(J84:K84)</f>
        <v>57</v>
      </c>
      <c r="M84" s="1">
        <f t="shared" si="17"/>
        <v>56</v>
      </c>
      <c r="N84" s="1">
        <v>96</v>
      </c>
      <c r="O84" s="1">
        <f>175-N84</f>
        <v>79</v>
      </c>
      <c r="AB84" s="1">
        <v>282</v>
      </c>
    </row>
    <row r="85" spans="1:28" x14ac:dyDescent="0.2">
      <c r="A85" s="1" t="s">
        <v>82</v>
      </c>
      <c r="J85" s="1">
        <v>-212</v>
      </c>
      <c r="K85" s="1">
        <f>-430-J85</f>
        <v>-218</v>
      </c>
      <c r="L85" s="1">
        <f>-632-SUM(J85:K85)</f>
        <v>-202</v>
      </c>
      <c r="M85" s="1">
        <f t="shared" si="17"/>
        <v>-370</v>
      </c>
      <c r="N85" s="1">
        <v>-239</v>
      </c>
      <c r="O85" s="1">
        <f>-436-N85</f>
        <v>-197</v>
      </c>
      <c r="AB85" s="1">
        <v>-1002</v>
      </c>
    </row>
    <row r="86" spans="1:28" x14ac:dyDescent="0.2">
      <c r="A86" s="1" t="s">
        <v>87</v>
      </c>
      <c r="J86" s="1">
        <v>-584</v>
      </c>
      <c r="K86" s="1">
        <f>-1135-J86</f>
        <v>-551</v>
      </c>
      <c r="L86" s="1">
        <f>-1707-SUM(J86:K86)</f>
        <v>-572</v>
      </c>
      <c r="M86" s="1">
        <f t="shared" si="17"/>
        <v>-281</v>
      </c>
      <c r="N86" s="1">
        <v>-557</v>
      </c>
      <c r="O86" s="1">
        <f>-1274-N86</f>
        <v>-717</v>
      </c>
      <c r="AB86" s="1">
        <v>-1988</v>
      </c>
    </row>
    <row r="87" spans="1:28" x14ac:dyDescent="0.2">
      <c r="A87" s="1" t="s">
        <v>88</v>
      </c>
      <c r="J87" s="1">
        <v>-260</v>
      </c>
      <c r="K87" s="1">
        <f>-516-J87</f>
        <v>-256</v>
      </c>
      <c r="L87" s="1">
        <f>-773-SUM(J87:K87)</f>
        <v>-257</v>
      </c>
      <c r="M87" s="1">
        <f t="shared" si="17"/>
        <v>-261</v>
      </c>
      <c r="N87" s="1">
        <v>-296</v>
      </c>
      <c r="O87" s="1">
        <f>-596-N87</f>
        <v>-300</v>
      </c>
      <c r="AB87" s="1">
        <v>-1034</v>
      </c>
    </row>
    <row r="88" spans="1:28" x14ac:dyDescent="0.2">
      <c r="A88" s="1" t="s">
        <v>89</v>
      </c>
      <c r="J88" s="1">
        <v>2040</v>
      </c>
      <c r="K88" s="1">
        <f>2921-J88</f>
        <v>881</v>
      </c>
      <c r="L88" s="1">
        <f>2212-SUM(J88:K88)</f>
        <v>-709</v>
      </c>
      <c r="M88" s="1">
        <f t="shared" si="17"/>
        <v>1224</v>
      </c>
      <c r="N88" s="1">
        <v>1672</v>
      </c>
      <c r="O88" s="1">
        <f>-583-N88</f>
        <v>-2255</v>
      </c>
      <c r="AB88" s="1">
        <v>3436</v>
      </c>
    </row>
    <row r="89" spans="1:28" x14ac:dyDescent="0.2">
      <c r="A89" s="1" t="s">
        <v>54</v>
      </c>
      <c r="J89" s="1">
        <v>17</v>
      </c>
      <c r="K89" s="1">
        <f>-2-J89</f>
        <v>-19</v>
      </c>
      <c r="L89" s="1">
        <f>-3-SUM(J89:K89)</f>
        <v>-1</v>
      </c>
      <c r="M89" s="1">
        <f t="shared" si="17"/>
        <v>1</v>
      </c>
      <c r="N89" s="1">
        <v>0</v>
      </c>
      <c r="O89" s="1">
        <f>-4-N89</f>
        <v>-4</v>
      </c>
      <c r="AB89" s="1">
        <v>-2</v>
      </c>
    </row>
    <row r="90" spans="1:28" x14ac:dyDescent="0.2">
      <c r="A90" s="1" t="s">
        <v>83</v>
      </c>
      <c r="J90" s="1">
        <f t="shared" ref="J90:M90" si="18">+SUM(J83:J89)</f>
        <v>849</v>
      </c>
      <c r="K90" s="1">
        <f t="shared" si="18"/>
        <v>-16</v>
      </c>
      <c r="L90" s="1">
        <f t="shared" si="18"/>
        <v>-1684</v>
      </c>
      <c r="M90" s="1">
        <f t="shared" si="18"/>
        <v>454</v>
      </c>
      <c r="N90" s="1">
        <f>+SUM(N83:N89)</f>
        <v>761</v>
      </c>
      <c r="O90" s="1">
        <f>+SUM(O83:O89)</f>
        <v>-3260</v>
      </c>
      <c r="AB90" s="1">
        <f>+SUM(AB83:AB89)</f>
        <v>-397</v>
      </c>
    </row>
    <row r="91" spans="1:28" x14ac:dyDescent="0.2">
      <c r="A91" s="1" t="s">
        <v>84</v>
      </c>
      <c r="J91" s="1">
        <v>-17</v>
      </c>
      <c r="K91" s="1">
        <f>-4-J91</f>
        <v>13</v>
      </c>
      <c r="L91" s="1">
        <f>-12-SUM(J91:K91)</f>
        <v>-8</v>
      </c>
      <c r="M91" s="1">
        <f t="shared" si="17"/>
        <v>-1</v>
      </c>
      <c r="N91" s="1">
        <v>0</v>
      </c>
      <c r="O91" s="1">
        <v>-12</v>
      </c>
      <c r="AB91" s="1">
        <v>-13</v>
      </c>
    </row>
    <row r="92" spans="1:28" x14ac:dyDescent="0.2">
      <c r="A92" s="1" t="s">
        <v>85</v>
      </c>
      <c r="J92" s="1">
        <f t="shared" ref="J92:M92" si="19">+J74+J81+J90+J91</f>
        <v>845</v>
      </c>
      <c r="K92" s="1">
        <f t="shared" si="19"/>
        <v>744</v>
      </c>
      <c r="L92" s="1">
        <f t="shared" si="19"/>
        <v>2040</v>
      </c>
      <c r="M92" s="1">
        <f t="shared" si="19"/>
        <v>618</v>
      </c>
      <c r="N92" s="1">
        <f>+N74+N81+N90+N91</f>
        <v>935</v>
      </c>
      <c r="O92" s="1">
        <f>+O74+O81+O90+O91</f>
        <v>-2692</v>
      </c>
      <c r="AB92" s="1">
        <f>+AB74+AB81+AB90+AB91</f>
        <v>4247</v>
      </c>
    </row>
    <row r="94" spans="1:28" s="7" customFormat="1" x14ac:dyDescent="0.2">
      <c r="A94" s="7" t="s">
        <v>86</v>
      </c>
      <c r="J94" s="7">
        <f t="shared" ref="J94:M94" si="20">+J74+J77</f>
        <v>-181</v>
      </c>
      <c r="K94" s="7">
        <f t="shared" si="20"/>
        <v>550</v>
      </c>
      <c r="L94" s="7">
        <f t="shared" si="20"/>
        <v>3890</v>
      </c>
      <c r="M94" s="7">
        <f t="shared" si="20"/>
        <v>375</v>
      </c>
      <c r="N94" s="7">
        <f>+N74+N77</f>
        <v>329</v>
      </c>
      <c r="O94" s="7">
        <f>+O74+O77</f>
        <v>1038</v>
      </c>
      <c r="AB94" s="7">
        <f>+AB74+AB77</f>
        <v>4634</v>
      </c>
    </row>
    <row r="95" spans="1:28" x14ac:dyDescent="0.2">
      <c r="A95" s="1" t="s">
        <v>91</v>
      </c>
      <c r="M95" s="1">
        <f t="shared" ref="M95:N95" si="21">+SUM(J94:M94)</f>
        <v>4634</v>
      </c>
      <c r="N95" s="1">
        <f t="shared" si="21"/>
        <v>5144</v>
      </c>
      <c r="O95" s="1">
        <f>+SUM(L94:O94)</f>
        <v>5632</v>
      </c>
    </row>
    <row r="96" spans="1:28" x14ac:dyDescent="0.2">
      <c r="N96" s="4"/>
      <c r="O96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</dc:creator>
  <cp:lastModifiedBy>Fidel</cp:lastModifiedBy>
  <dcterms:created xsi:type="dcterms:W3CDTF">2025-04-25T19:38:00Z</dcterms:created>
  <dcterms:modified xsi:type="dcterms:W3CDTF">2025-04-25T21:54:09Z</dcterms:modified>
</cp:coreProperties>
</file>