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8E8109C1-F293-4818-83EE-D2292B663023}" xr6:coauthVersionLast="47" xr6:coauthVersionMax="47" xr10:uidLastSave="{00000000-0000-0000-0000-000000000000}"/>
  <bookViews>
    <workbookView xWindow="0" yWindow="0" windowWidth="14400" windowHeight="15600" xr2:uid="{4B57248E-97C8-4CB1-AA7A-1623BB5EBA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10" i="1"/>
  <c r="L9" i="1"/>
  <c r="L14" i="1"/>
  <c r="L4" i="1"/>
  <c r="L5" i="1" s="1"/>
  <c r="L13" i="1"/>
  <c r="L15" i="1" s="1"/>
  <c r="L7" i="1"/>
  <c r="L17" i="1" s="1"/>
  <c r="L6" i="1"/>
  <c r="L16" i="1" s="1"/>
  <c r="O75" i="2"/>
  <c r="N75" i="2"/>
  <c r="M75" i="2"/>
  <c r="L75" i="2"/>
  <c r="K75" i="2"/>
  <c r="J75" i="2"/>
  <c r="P75" i="2"/>
  <c r="P40" i="2"/>
  <c r="P69" i="2"/>
  <c r="P68" i="2"/>
  <c r="M72" i="2"/>
  <c r="M71" i="2"/>
  <c r="AC76" i="2"/>
  <c r="AC3" i="2"/>
  <c r="AC73" i="2"/>
  <c r="AB73" i="2"/>
  <c r="M38" i="2"/>
  <c r="M36" i="2"/>
  <c r="M35" i="2"/>
  <c r="M34" i="2"/>
  <c r="M32" i="2"/>
  <c r="M30" i="2"/>
  <c r="M28" i="2"/>
  <c r="M29" i="2"/>
  <c r="M27" i="2"/>
  <c r="M26" i="2"/>
  <c r="M25" i="2"/>
  <c r="M24" i="2"/>
  <c r="M23" i="2"/>
  <c r="M22" i="2"/>
  <c r="M21" i="2"/>
  <c r="M20" i="2"/>
  <c r="M19" i="2"/>
  <c r="AC38" i="2"/>
  <c r="AB36" i="2"/>
  <c r="AB35" i="2"/>
  <c r="AB34" i="2"/>
  <c r="AC36" i="2"/>
  <c r="AC35" i="2"/>
  <c r="AC34" i="2"/>
  <c r="AB27" i="2"/>
  <c r="AB25" i="2"/>
  <c r="AB21" i="2"/>
  <c r="AC27" i="2"/>
  <c r="AC25" i="2"/>
  <c r="AC21" i="2"/>
  <c r="O31" i="2"/>
  <c r="N31" i="2"/>
  <c r="M31" i="2"/>
  <c r="L31" i="2"/>
  <c r="K31" i="2"/>
  <c r="J31" i="2"/>
  <c r="L32" i="2"/>
  <c r="P32" i="2"/>
  <c r="P31" i="2" s="1"/>
  <c r="K32" i="2"/>
  <c r="O32" i="2"/>
  <c r="J27" i="2"/>
  <c r="J25" i="2"/>
  <c r="J21" i="2"/>
  <c r="J38" i="2" s="1"/>
  <c r="N27" i="2"/>
  <c r="O27" i="2" s="1"/>
  <c r="N25" i="2"/>
  <c r="N26" i="2" s="1"/>
  <c r="O24" i="2"/>
  <c r="O23" i="2"/>
  <c r="N21" i="2"/>
  <c r="K72" i="2"/>
  <c r="K73" i="2" s="1"/>
  <c r="K76" i="2" s="1"/>
  <c r="K71" i="2"/>
  <c r="L71" i="2" s="1"/>
  <c r="J76" i="2"/>
  <c r="N73" i="2"/>
  <c r="N76" i="2" s="1"/>
  <c r="J73" i="2"/>
  <c r="O72" i="2"/>
  <c r="P72" i="2" s="1"/>
  <c r="O71" i="2"/>
  <c r="K29" i="2"/>
  <c r="L29" i="2" s="1"/>
  <c r="K24" i="2"/>
  <c r="L24" i="2" s="1"/>
  <c r="K23" i="2"/>
  <c r="L23" i="2" s="1"/>
  <c r="K22" i="2"/>
  <c r="K20" i="2"/>
  <c r="K19" i="2"/>
  <c r="L19" i="2" s="1"/>
  <c r="O22" i="2"/>
  <c r="O20" i="2"/>
  <c r="O19" i="2"/>
  <c r="L72" i="2"/>
  <c r="P71" i="2"/>
  <c r="P57" i="2"/>
  <c r="P55" i="2"/>
  <c r="P64" i="2" s="1"/>
  <c r="P66" i="2" s="1"/>
  <c r="P44" i="2"/>
  <c r="P43" i="2"/>
  <c r="P53" i="2" s="1"/>
  <c r="P41" i="2"/>
  <c r="L18" i="1" l="1"/>
  <c r="L8" i="1"/>
  <c r="M73" i="2"/>
  <c r="M76" i="2" s="1"/>
  <c r="AB26" i="2"/>
  <c r="AB28" i="2" s="1"/>
  <c r="AB30" i="2" s="1"/>
  <c r="AB31" i="2" s="1"/>
  <c r="AC26" i="2"/>
  <c r="AC28" i="2" s="1"/>
  <c r="AC30" i="2" s="1"/>
  <c r="AC31" i="2" s="1"/>
  <c r="O73" i="2"/>
  <c r="O76" i="2" s="1"/>
  <c r="K25" i="2"/>
  <c r="J26" i="2"/>
  <c r="N38" i="2"/>
  <c r="N28" i="2"/>
  <c r="N30" i="2" s="1"/>
  <c r="N35" i="2" s="1"/>
  <c r="N34" i="2"/>
  <c r="O29" i="2"/>
  <c r="P29" i="2" s="1"/>
  <c r="K21" i="2"/>
  <c r="K38" i="2" s="1"/>
  <c r="P19" i="2"/>
  <c r="P20" i="2"/>
  <c r="P22" i="2"/>
  <c r="P23" i="2"/>
  <c r="P24" i="2"/>
  <c r="K27" i="2"/>
  <c r="L20" i="2"/>
  <c r="L21" i="2" s="1"/>
  <c r="L38" i="2" s="1"/>
  <c r="L22" i="2"/>
  <c r="L25" i="2" s="1"/>
  <c r="O21" i="2"/>
  <c r="L73" i="2"/>
  <c r="L76" i="2" s="1"/>
  <c r="P73" i="2"/>
  <c r="P76" i="2" s="1"/>
  <c r="O25" i="2"/>
  <c r="K26" i="2" l="1"/>
  <c r="J34" i="2"/>
  <c r="J28" i="2"/>
  <c r="L26" i="2"/>
  <c r="L34" i="2" s="1"/>
  <c r="P25" i="2"/>
  <c r="N36" i="2"/>
  <c r="P21" i="2"/>
  <c r="P38" i="2"/>
  <c r="O38" i="2"/>
  <c r="L27" i="2"/>
  <c r="L28" i="2" s="1"/>
  <c r="L30" i="2" s="1"/>
  <c r="P27" i="2"/>
  <c r="O26" i="2"/>
  <c r="O28" i="2" s="1"/>
  <c r="K34" i="2"/>
  <c r="K28" i="2"/>
  <c r="J36" i="2" l="1"/>
  <c r="J30" i="2"/>
  <c r="J35" i="2" s="1"/>
  <c r="P26" i="2"/>
  <c r="O34" i="2"/>
  <c r="K36" i="2"/>
  <c r="K30" i="2"/>
  <c r="K35" i="2" s="1"/>
  <c r="O36" i="2"/>
  <c r="O30" i="2"/>
  <c r="O35" i="2" s="1"/>
  <c r="L35" i="2"/>
  <c r="L36" i="2"/>
  <c r="P28" i="2"/>
  <c r="P34" i="2"/>
  <c r="P30" i="2" l="1"/>
  <c r="P35" i="2" s="1"/>
  <c r="P36" i="2"/>
</calcChain>
</file>

<file path=xl/sharedStrings.xml><?xml version="1.0" encoding="utf-8"?>
<sst xmlns="http://schemas.openxmlformats.org/spreadsheetml/2006/main" count="123" uniqueCount="111">
  <si>
    <t>Revenue</t>
  </si>
  <si>
    <t>SG&amp;A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</si>
  <si>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</si>
  <si>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</si>
  <si>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</si>
  <si>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</si>
  <si>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</si>
  <si>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</si>
  <si>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</si>
  <si>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</si>
  <si>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Operating margin</t>
  </si>
  <si>
    <t>Net margin</t>
  </si>
  <si>
    <t>Tax rate</t>
  </si>
  <si>
    <t>Revenue y/y</t>
  </si>
  <si>
    <t>Q424</t>
  </si>
  <si>
    <t>Cash</t>
  </si>
  <si>
    <t>Debt</t>
  </si>
  <si>
    <t>Price YEN</t>
  </si>
  <si>
    <t>MC YEN</t>
  </si>
  <si>
    <t>Cash YEN</t>
  </si>
  <si>
    <t>Debt YEN</t>
  </si>
  <si>
    <t>EV YEN</t>
  </si>
  <si>
    <t>FQ325</t>
  </si>
  <si>
    <t>FQ225</t>
  </si>
  <si>
    <t>FQ125</t>
  </si>
  <si>
    <t>FQ424</t>
  </si>
  <si>
    <t>FQ324</t>
  </si>
  <si>
    <t>FQ224</t>
  </si>
  <si>
    <t>FQ124</t>
  </si>
  <si>
    <t>FQ423</t>
  </si>
  <si>
    <t>FQ323</t>
  </si>
  <si>
    <t>FQ223</t>
  </si>
  <si>
    <t>FQ123</t>
  </si>
  <si>
    <t>FQ422</t>
  </si>
  <si>
    <t>FQ322</t>
  </si>
  <si>
    <t>FQ222</t>
  </si>
  <si>
    <t>FQ122</t>
  </si>
  <si>
    <t>FY24</t>
  </si>
  <si>
    <t>FY23</t>
  </si>
  <si>
    <t>FY22</t>
  </si>
  <si>
    <t>FY14</t>
  </si>
  <si>
    <t>FY15</t>
  </si>
  <si>
    <t>FY16</t>
  </si>
  <si>
    <t>FY17</t>
  </si>
  <si>
    <t>FY18</t>
  </si>
  <si>
    <t>FY19</t>
  </si>
  <si>
    <t>FY20</t>
  </si>
  <si>
    <t>FY21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</si>
  <si>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</si>
  <si>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</si>
  <si>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</si>
  <si>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</si>
  <si>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</si>
  <si>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</si>
  <si>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</si>
  <si>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</si>
  <si>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</si>
  <si>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</si>
  <si>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Vehicle Production (000)</t>
  </si>
  <si>
    <t>Vehicle Sales (000)</t>
  </si>
  <si>
    <t>USD/JPY</t>
  </si>
  <si>
    <t>EUR/JPY</t>
  </si>
  <si>
    <t>Japan</t>
  </si>
  <si>
    <t>North America</t>
  </si>
  <si>
    <t>Europe</t>
  </si>
  <si>
    <t>Asia</t>
  </si>
  <si>
    <t>Other</t>
  </si>
  <si>
    <t>Automotive</t>
  </si>
  <si>
    <t>Financial Services</t>
  </si>
  <si>
    <t>Product</t>
  </si>
  <si>
    <t>Services</t>
  </si>
  <si>
    <t>COGS product</t>
  </si>
  <si>
    <t>COGS services</t>
  </si>
  <si>
    <t>(yen in millions)</t>
  </si>
  <si>
    <t>Net cash</t>
  </si>
  <si>
    <t>AR</t>
  </si>
  <si>
    <t>Financial receivables</t>
  </si>
  <si>
    <t>Other financial</t>
  </si>
  <si>
    <t>Inventories</t>
  </si>
  <si>
    <t>Tax receivables</t>
  </si>
  <si>
    <t>OCA</t>
  </si>
  <si>
    <t>PP&amp;E</t>
  </si>
  <si>
    <t>ROU</t>
  </si>
  <si>
    <t>Goodwill</t>
  </si>
  <si>
    <t>DT</t>
  </si>
  <si>
    <t>ONCA</t>
  </si>
  <si>
    <t>Assets</t>
  </si>
  <si>
    <t>AP</t>
  </si>
  <si>
    <t>Accrued</t>
  </si>
  <si>
    <t>Tax payable</t>
  </si>
  <si>
    <t>Assurance</t>
  </si>
  <si>
    <t>OCL</t>
  </si>
  <si>
    <t>Benefits</t>
  </si>
  <si>
    <t>ONCL</t>
  </si>
  <si>
    <t>Liabilties</t>
  </si>
  <si>
    <t>S/E</t>
  </si>
  <si>
    <t>L+S/E</t>
  </si>
  <si>
    <t>NI TTM</t>
  </si>
  <si>
    <t>ROTA</t>
  </si>
  <si>
    <t>CFFO</t>
  </si>
  <si>
    <t>CapEx</t>
  </si>
  <si>
    <t>FCF</t>
  </si>
  <si>
    <t>FCF USD</t>
  </si>
  <si>
    <t>31-06-23</t>
  </si>
  <si>
    <t>31-06-24</t>
  </si>
  <si>
    <t>NI USD</t>
  </si>
  <si>
    <t>Price USD</t>
  </si>
  <si>
    <t>MC USD</t>
  </si>
  <si>
    <t>Cash USD</t>
  </si>
  <si>
    <t>Debt USD</t>
  </si>
  <si>
    <t>EV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</si>
</sst>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\x"/>
    <numFmt numFmtId="168" formatCode="d/mm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NumberFormat="1" applyAlignment="1">
      <alignment horizontal="right"/>
    </xf>
    <xf numFmtId="3" fontId="0" fillId="0" borderId="0" xfId="0" applyNumberFormat="1" applyAlignment="1"/>
    <xf numFmtId="3" fontId="1" fillId="0" borderId="0" xfId="0" applyNumberFormat="1" applyFont="1"/>
    <xf numFmtId="3" fontId="0" fillId="0" borderId="0" xfId="0" applyNumberFormat="1" applyFont="1"/>
    <xf numFmtId="9" fontId="1" fillId="0" borderId="0" xfId="0" applyNumberFormat="1" applyFont="1"/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0</xdr:rowOff>
    </xdr:from>
    <xdr:to>
      <xdr:col>16</xdr:col>
      <xdr:colOff>38100</xdr:colOff>
      <xdr:row>86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A4FB77A-3D5A-A165-D2F3-0396C95F217A}"/>
            </a:ext>
          </a:extLst>
        </xdr:cNvPr>
        <xdr:cNvCxnSpPr/>
      </xdr:nvCxnSpPr>
      <xdr:spPr>
        <a:xfrm>
          <a:off x="10363200" y="0"/>
          <a:ext cx="0" cy="137636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</xdr:colOff>
      <xdr:row>0</xdr:row>
      <xdr:rowOff>9525</xdr:rowOff>
    </xdr:from>
    <xdr:to>
      <xdr:col>29</xdr:col>
      <xdr:colOff>28575</xdr:colOff>
      <xdr:row>82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D2C06B1-67C9-4433-800B-25BE4650F6BE}"/>
            </a:ext>
          </a:extLst>
        </xdr:cNvPr>
        <xdr:cNvCxnSpPr/>
      </xdr:nvCxnSpPr>
      <xdr:spPr>
        <a:xfrm>
          <a:off x="18745200" y="9525"/>
          <a:ext cx="0" cy="133540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8A08-2AA1-4987-BE4C-A372DC90810C}">
  <dimension ref="K1:M20"/>
  <sheetViews>
    <sheetView tabSelected="1" workbookViewId="0">
      <selection activeCell="F31" sqref="F31"/>
    </sheetView>
  </sheetViews>
  <sheetFormatPr defaultRowHeight="12.75" x14ac:dyDescent="0.2"/>
  <cols>
    <col min="11" max="11" width="9.7109375" bestFit="1" customWidth="1"/>
    <col min="12" max="12" width="10.140625" bestFit="1" customWidth="1"/>
  </cols>
  <sheetData>
    <row r="1" spans="11:13" x14ac:dyDescent="0.2">
      <c r="K1" t="s">
        <v>60</v>
      </c>
      <c r="L1">
        <v>145</v>
      </c>
    </row>
    <row r="3" spans="11:13" x14ac:dyDescent="0.2">
      <c r="K3" t="s">
        <v>17</v>
      </c>
      <c r="L3">
        <v>2780</v>
      </c>
    </row>
    <row r="4" spans="11:13" x14ac:dyDescent="0.2">
      <c r="K4" t="s">
        <v>9</v>
      </c>
      <c r="L4" s="1">
        <f>+Model!P32</f>
        <v>13112.605007999995</v>
      </c>
      <c r="M4" s="13" t="s">
        <v>22</v>
      </c>
    </row>
    <row r="5" spans="11:13" x14ac:dyDescent="0.2">
      <c r="K5" t="s">
        <v>18</v>
      </c>
      <c r="L5" s="1">
        <f>+L3*L4</f>
        <v>36453041.922239989</v>
      </c>
      <c r="M5" s="13"/>
    </row>
    <row r="6" spans="11:13" x14ac:dyDescent="0.2">
      <c r="K6" t="s">
        <v>19</v>
      </c>
      <c r="L6" s="1">
        <f>+Model!P41</f>
        <v>13821974</v>
      </c>
      <c r="M6" s="13" t="s">
        <v>22</v>
      </c>
    </row>
    <row r="7" spans="11:13" x14ac:dyDescent="0.2">
      <c r="K7" t="s">
        <v>20</v>
      </c>
      <c r="L7" s="1">
        <f>+Model!P55</f>
        <v>39579686</v>
      </c>
      <c r="M7" s="13" t="s">
        <v>22</v>
      </c>
    </row>
    <row r="8" spans="11:13" x14ac:dyDescent="0.2">
      <c r="K8" t="s">
        <v>21</v>
      </c>
      <c r="L8" s="1">
        <f>+L5-L6+L7</f>
        <v>62210753.922239989</v>
      </c>
    </row>
    <row r="9" spans="11:13" x14ac:dyDescent="0.2">
      <c r="L9" s="1">
        <f>+SUM(Model!M30:P30)</f>
        <v>3314658</v>
      </c>
    </row>
    <row r="10" spans="11:13" x14ac:dyDescent="0.2">
      <c r="L10" s="5">
        <f>+L8/L9</f>
        <v>18.768377890642107</v>
      </c>
    </row>
    <row r="13" spans="11:13" x14ac:dyDescent="0.2">
      <c r="K13" t="s">
        <v>106</v>
      </c>
      <c r="L13" s="4">
        <f>+L3/L1</f>
        <v>19.172413793103448</v>
      </c>
    </row>
    <row r="14" spans="11:13" x14ac:dyDescent="0.2">
      <c r="K14" t="s">
        <v>9</v>
      </c>
      <c r="L14" s="1">
        <f>+Model!P32</f>
        <v>13112.605007999995</v>
      </c>
      <c r="M14" s="13" t="s">
        <v>22</v>
      </c>
    </row>
    <row r="15" spans="11:13" x14ac:dyDescent="0.2">
      <c r="K15" t="s">
        <v>107</v>
      </c>
      <c r="L15" s="1">
        <f>+L13*L14</f>
        <v>251400.28911889647</v>
      </c>
      <c r="M15" s="13"/>
    </row>
    <row r="16" spans="11:13" x14ac:dyDescent="0.2">
      <c r="K16" t="s">
        <v>108</v>
      </c>
      <c r="L16" s="1">
        <f>+L6/L1</f>
        <v>95323.958620689649</v>
      </c>
      <c r="M16" s="13" t="s">
        <v>22</v>
      </c>
    </row>
    <row r="17" spans="11:13" x14ac:dyDescent="0.2">
      <c r="K17" t="s">
        <v>109</v>
      </c>
      <c r="L17" s="1">
        <f>+L7/L1</f>
        <v>272963.35172413796</v>
      </c>
      <c r="M17" s="13" t="s">
        <v>22</v>
      </c>
    </row>
    <row r="18" spans="11:13" x14ac:dyDescent="0.2">
      <c r="K18" t="s">
        <v>110</v>
      </c>
      <c r="L18" s="1">
        <f>+L15-L16+L17</f>
        <v>429039.6822223448</v>
      </c>
    </row>
    <row r="19" spans="11:13" x14ac:dyDescent="0.2">
      <c r="L19" s="1">
        <f>+L9/L1</f>
        <v>22859.710344827585</v>
      </c>
    </row>
    <row r="20" spans="11:13" x14ac:dyDescent="0.2">
      <c r="L20" s="5">
        <f>+L18/L19</f>
        <v>18.76837789064211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103C-7A4E-4C8D-A5AA-D9F36E28ABF6}">
  <dimension ref="A1:AM76"/>
  <sheetViews>
    <sheetView workbookViewId="0">
      <pane xSplit="1" ySplit="2" topLeftCell="F45" activePane="bottomRight" state="frozen"/>
      <selection pane="topRight" activeCell="B1" sqref="B1"/>
      <selection pane="bottomLeft" activeCell="A3" sqref="A3"/>
      <selection pane="bottomRight" activeCell="P30" sqref="M30:P30"/>
    </sheetView>
  </sheetViews>
  <sheetFormatPr defaultRowHeight="12.75" x14ac:dyDescent="0.2"/>
  <cols>
    <col min="1" max="1" width="16.7109375" style="1" bestFit="1" customWidth="1"/>
    <col min="2" max="9" width="9.140625" style="1"/>
    <col min="10" max="15" width="10.140625" style="1" bestFit="1" customWidth="1"/>
    <col min="16" max="16" width="10.7109375" style="1" bestFit="1" customWidth="1"/>
    <col min="17" max="27" width="9.140625" style="1"/>
    <col min="28" max="29" width="10.140625" style="1" bestFit="1" customWidth="1"/>
    <col min="30" max="16384" width="9.140625" style="1"/>
  </cols>
  <sheetData>
    <row r="1" spans="1:39" s="6" customFormat="1" x14ac:dyDescent="0.2">
      <c r="I1" s="6">
        <v>45016</v>
      </c>
      <c r="J1" s="12" t="s">
        <v>103</v>
      </c>
      <c r="K1" s="6">
        <v>45199</v>
      </c>
      <c r="L1" s="6">
        <v>45291</v>
      </c>
      <c r="M1" s="6">
        <v>45382</v>
      </c>
      <c r="N1" s="12" t="s">
        <v>104</v>
      </c>
      <c r="O1" s="6">
        <v>45565</v>
      </c>
      <c r="P1" s="6">
        <v>45657</v>
      </c>
      <c r="AB1" s="6">
        <v>45016</v>
      </c>
      <c r="AC1" s="6">
        <v>45382</v>
      </c>
    </row>
    <row r="2" spans="1:39" x14ac:dyDescent="0.2">
      <c r="A2" s="8" t="s">
        <v>73</v>
      </c>
      <c r="B2" s="2" t="s">
        <v>36</v>
      </c>
      <c r="C2" s="2" t="s">
        <v>35</v>
      </c>
      <c r="D2" s="2" t="s">
        <v>34</v>
      </c>
      <c r="E2" s="2" t="s">
        <v>33</v>
      </c>
      <c r="F2" s="2" t="s">
        <v>32</v>
      </c>
      <c r="G2" s="2" t="s">
        <v>31</v>
      </c>
      <c r="H2" s="2" t="s">
        <v>30</v>
      </c>
      <c r="I2" s="2" t="s">
        <v>29</v>
      </c>
      <c r="J2" s="2" t="s">
        <v>28</v>
      </c>
      <c r="K2" s="2" t="s">
        <v>27</v>
      </c>
      <c r="L2" s="2" t="s">
        <v>26</v>
      </c>
      <c r="M2" s="2" t="s">
        <v>25</v>
      </c>
      <c r="N2" s="2" t="s">
        <v>24</v>
      </c>
      <c r="O2" s="2" t="s">
        <v>23</v>
      </c>
      <c r="P2" s="2" t="s">
        <v>22</v>
      </c>
      <c r="Q2" s="2" t="s">
        <v>14</v>
      </c>
      <c r="S2" s="7" t="s">
        <v>40</v>
      </c>
      <c r="T2" s="7" t="s">
        <v>41</v>
      </c>
      <c r="U2" s="7" t="s">
        <v>42</v>
      </c>
      <c r="V2" s="7" t="s">
        <v>43</v>
      </c>
      <c r="W2" s="7" t="s">
        <v>44</v>
      </c>
      <c r="X2" s="7" t="s">
        <v>45</v>
      </c>
      <c r="Y2" s="7" t="s">
        <v>46</v>
      </c>
      <c r="Z2" s="7" t="s">
        <v>47</v>
      </c>
      <c r="AA2" s="7" t="s">
        <v>39</v>
      </c>
      <c r="AB2" s="7" t="s">
        <v>38</v>
      </c>
      <c r="AC2" s="7" t="s">
        <v>37</v>
      </c>
      <c r="AD2" s="7" t="s">
        <v>48</v>
      </c>
      <c r="AE2" s="7" t="s">
        <v>49</v>
      </c>
      <c r="AF2" s="7" t="s">
        <v>50</v>
      </c>
      <c r="AG2" s="7" t="s">
        <v>51</v>
      </c>
      <c r="AH2" s="7" t="s">
        <v>52</v>
      </c>
      <c r="AI2" s="7" t="s">
        <v>53</v>
      </c>
      <c r="AJ2" s="7" t="s">
        <v>54</v>
      </c>
      <c r="AK2" s="7" t="s">
        <v>55</v>
      </c>
      <c r="AL2" s="7" t="s">
        <v>56</v>
      </c>
      <c r="AM2" s="7" t="s">
        <v>57</v>
      </c>
    </row>
    <row r="3" spans="1:39" x14ac:dyDescent="0.2">
      <c r="A3" s="8" t="s">
        <v>60</v>
      </c>
      <c r="B3" s="2"/>
      <c r="C3" s="2"/>
      <c r="D3" s="2"/>
      <c r="E3" s="2"/>
      <c r="F3" s="2"/>
      <c r="G3" s="2"/>
      <c r="H3" s="2"/>
      <c r="I3" s="2"/>
      <c r="J3" s="2">
        <v>137</v>
      </c>
      <c r="K3" s="2">
        <v>145</v>
      </c>
      <c r="L3" s="2">
        <v>158</v>
      </c>
      <c r="M3" s="2">
        <v>149</v>
      </c>
      <c r="N3" s="2">
        <v>156</v>
      </c>
      <c r="O3" s="2">
        <v>150</v>
      </c>
      <c r="P3" s="2">
        <v>152</v>
      </c>
      <c r="Q3" s="2"/>
      <c r="S3" s="7"/>
      <c r="T3" s="7"/>
      <c r="U3" s="7"/>
      <c r="V3" s="7"/>
      <c r="W3" s="7"/>
      <c r="X3" s="7"/>
      <c r="Y3" s="7"/>
      <c r="Z3" s="7"/>
      <c r="AA3" s="7"/>
      <c r="AB3" s="7"/>
      <c r="AC3" s="2">
        <f>+AVERAGE(J3:M3)</f>
        <v>147.25</v>
      </c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x14ac:dyDescent="0.2">
      <c r="A4" s="8" t="s">
        <v>61</v>
      </c>
      <c r="B4" s="2"/>
      <c r="C4" s="2"/>
      <c r="D4" s="2"/>
      <c r="E4" s="2"/>
      <c r="F4" s="2"/>
      <c r="G4" s="2"/>
      <c r="H4" s="2"/>
      <c r="I4" s="2"/>
      <c r="J4" s="2">
        <v>150</v>
      </c>
      <c r="K4" s="2">
        <v>157</v>
      </c>
      <c r="L4" s="2">
        <v>159</v>
      </c>
      <c r="M4" s="2">
        <v>161</v>
      </c>
      <c r="N4" s="2">
        <v>168</v>
      </c>
      <c r="O4" s="2">
        <v>164</v>
      </c>
      <c r="P4" s="2">
        <v>163</v>
      </c>
      <c r="Q4" s="2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x14ac:dyDescent="0.2">
      <c r="A6" s="8" t="s">
        <v>58</v>
      </c>
      <c r="B6" s="2"/>
      <c r="C6" s="2"/>
      <c r="D6" s="2"/>
      <c r="E6" s="2"/>
      <c r="F6" s="2"/>
      <c r="G6" s="2"/>
      <c r="H6" s="2"/>
      <c r="I6" s="2"/>
      <c r="J6" s="2">
        <v>2345</v>
      </c>
      <c r="K6" s="2">
        <v>2379</v>
      </c>
      <c r="L6" s="2">
        <v>2444</v>
      </c>
      <c r="M6" s="2">
        <v>2095</v>
      </c>
      <c r="N6" s="2">
        <v>2186</v>
      </c>
      <c r="O6" s="2">
        <v>2217</v>
      </c>
      <c r="P6" s="2">
        <v>2312</v>
      </c>
      <c r="Q6" s="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x14ac:dyDescent="0.2">
      <c r="A7" s="8" t="s">
        <v>59</v>
      </c>
      <c r="B7" s="2"/>
      <c r="C7" s="2"/>
      <c r="D7" s="2"/>
      <c r="E7" s="2"/>
      <c r="F7" s="2"/>
      <c r="G7" s="2"/>
      <c r="H7" s="2"/>
      <c r="I7" s="2"/>
      <c r="J7" s="2">
        <v>2326</v>
      </c>
      <c r="K7" s="2">
        <v>2418</v>
      </c>
      <c r="L7" s="2">
        <v>2551</v>
      </c>
      <c r="M7" s="2">
        <v>2148</v>
      </c>
      <c r="N7" s="2">
        <v>2252</v>
      </c>
      <c r="O7" s="2">
        <v>2304</v>
      </c>
      <c r="P7" s="2">
        <v>2444</v>
      </c>
      <c r="Q7" s="2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x14ac:dyDescent="0.2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x14ac:dyDescent="0.2">
      <c r="A9" s="8" t="s">
        <v>62</v>
      </c>
      <c r="B9" s="2"/>
      <c r="C9" s="2"/>
      <c r="D9" s="2"/>
      <c r="E9" s="2"/>
      <c r="F9" s="2"/>
      <c r="G9" s="2"/>
      <c r="H9" s="2"/>
      <c r="I9" s="2"/>
      <c r="J9" s="2">
        <v>5105.5</v>
      </c>
      <c r="K9" s="2">
        <v>5404.7</v>
      </c>
      <c r="L9" s="2">
        <v>5626.8</v>
      </c>
      <c r="M9" s="2">
        <v>4883.5</v>
      </c>
      <c r="N9" s="2">
        <v>5224</v>
      </c>
      <c r="O9" s="1">
        <v>5317.3</v>
      </c>
      <c r="P9" s="2">
        <v>5764.8</v>
      </c>
      <c r="Q9" s="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x14ac:dyDescent="0.2">
      <c r="A10" s="8" t="s">
        <v>63</v>
      </c>
      <c r="B10" s="2"/>
      <c r="C10" s="2"/>
      <c r="D10" s="2"/>
      <c r="E10" s="2"/>
      <c r="F10" s="2"/>
      <c r="G10" s="2"/>
      <c r="H10" s="2"/>
      <c r="I10" s="2"/>
      <c r="J10" s="2">
        <v>4092</v>
      </c>
      <c r="K10" s="2">
        <v>4504.2</v>
      </c>
      <c r="L10" s="2">
        <v>4958.1000000000004</v>
      </c>
      <c r="M10" s="2">
        <v>4388.6000000000004</v>
      </c>
      <c r="N10" s="2">
        <v>5002.3999999999996</v>
      </c>
      <c r="O10" s="1">
        <v>4522.8999999999996</v>
      </c>
      <c r="P10" s="2">
        <v>4876.1000000000004</v>
      </c>
      <c r="Q10" s="2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x14ac:dyDescent="0.2">
      <c r="A11" s="8" t="s">
        <v>64</v>
      </c>
      <c r="B11" s="2"/>
      <c r="C11" s="2"/>
      <c r="D11" s="2"/>
      <c r="E11" s="2"/>
      <c r="F11" s="2"/>
      <c r="G11" s="2"/>
      <c r="H11" s="2"/>
      <c r="I11" s="2"/>
      <c r="J11" s="2">
        <v>1299</v>
      </c>
      <c r="K11" s="2">
        <v>1359.4</v>
      </c>
      <c r="L11" s="2">
        <v>1520.7</v>
      </c>
      <c r="M11" s="2">
        <v>1502.4</v>
      </c>
      <c r="N11" s="2">
        <v>1509</v>
      </c>
      <c r="O11" s="1">
        <v>1380.1</v>
      </c>
      <c r="P11" s="2">
        <v>1630.5</v>
      </c>
      <c r="Q11" s="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x14ac:dyDescent="0.2">
      <c r="A12" s="8" t="s">
        <v>65</v>
      </c>
      <c r="B12" s="2"/>
      <c r="C12" s="2"/>
      <c r="D12" s="2"/>
      <c r="E12" s="2"/>
      <c r="F12" s="2"/>
      <c r="G12" s="2"/>
      <c r="H12" s="2"/>
      <c r="I12" s="2"/>
      <c r="J12" s="2">
        <v>1964.5</v>
      </c>
      <c r="K12" s="2">
        <v>2346.6</v>
      </c>
      <c r="L12" s="2">
        <v>2371.3000000000002</v>
      </c>
      <c r="M12" s="2">
        <v>2048.1999999999998</v>
      </c>
      <c r="N12" s="2">
        <v>2231.6999999999998</v>
      </c>
      <c r="O12" s="1">
        <v>2238.1999999999998</v>
      </c>
      <c r="P12" s="2">
        <v>2323.3000000000002</v>
      </c>
      <c r="Q12" s="2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x14ac:dyDescent="0.2">
      <c r="A13" s="8" t="s">
        <v>66</v>
      </c>
      <c r="B13" s="2"/>
      <c r="C13" s="2"/>
      <c r="D13" s="2"/>
      <c r="E13" s="2"/>
      <c r="F13" s="2"/>
      <c r="G13" s="2"/>
      <c r="H13" s="2"/>
      <c r="I13" s="2"/>
      <c r="J13" s="2">
        <v>1024.5999999999999</v>
      </c>
      <c r="K13" s="2">
        <v>1165.0999999999999</v>
      </c>
      <c r="L13" s="2">
        <v>974</v>
      </c>
      <c r="M13" s="2">
        <v>1225.9000000000001</v>
      </c>
      <c r="N13" s="2">
        <v>1053.8</v>
      </c>
      <c r="O13" s="1">
        <v>1066.5999999999999</v>
      </c>
      <c r="P13" s="2">
        <v>1235</v>
      </c>
      <c r="Q13" s="2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x14ac:dyDescent="0.2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P14" s="2"/>
      <c r="Q14" s="2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x14ac:dyDescent="0.2">
      <c r="A15" s="8" t="s">
        <v>67</v>
      </c>
      <c r="B15" s="2"/>
      <c r="C15" s="2"/>
      <c r="D15" s="2"/>
      <c r="E15" s="2"/>
      <c r="F15" s="2"/>
      <c r="G15" s="2"/>
      <c r="H15" s="2"/>
      <c r="I15" s="2"/>
      <c r="J15" s="2">
        <v>9687.9</v>
      </c>
      <c r="K15" s="2">
        <v>10477.299999999999</v>
      </c>
      <c r="L15" s="2">
        <v>11065.7</v>
      </c>
      <c r="M15" s="2">
        <v>10035.1</v>
      </c>
      <c r="N15" s="2">
        <v>10759.7</v>
      </c>
      <c r="O15" s="1">
        <v>10332.4</v>
      </c>
      <c r="P15" s="2">
        <v>11249</v>
      </c>
      <c r="Q15" s="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x14ac:dyDescent="0.2">
      <c r="A16" s="8" t="s">
        <v>68</v>
      </c>
      <c r="B16" s="2"/>
      <c r="C16" s="2"/>
      <c r="D16" s="2"/>
      <c r="E16" s="2"/>
      <c r="F16" s="2"/>
      <c r="G16" s="2"/>
      <c r="H16" s="2"/>
      <c r="I16" s="2"/>
      <c r="J16" s="2">
        <v>775.1</v>
      </c>
      <c r="K16" s="2">
        <v>846.1</v>
      </c>
      <c r="L16" s="2">
        <v>922.3</v>
      </c>
      <c r="M16" s="2">
        <v>940.4</v>
      </c>
      <c r="N16" s="2">
        <v>1005.3</v>
      </c>
      <c r="O16" s="1">
        <v>1037.5999999999999</v>
      </c>
      <c r="P16" s="2">
        <v>1022.9</v>
      </c>
      <c r="Q16" s="2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x14ac:dyDescent="0.2">
      <c r="A17" s="8" t="s">
        <v>66</v>
      </c>
      <c r="B17" s="2"/>
      <c r="C17" s="2"/>
      <c r="D17" s="2"/>
      <c r="E17" s="2"/>
      <c r="F17" s="2"/>
      <c r="G17" s="2"/>
      <c r="H17" s="2"/>
      <c r="I17" s="2"/>
      <c r="J17" s="2">
        <v>306.39999999999998</v>
      </c>
      <c r="K17" s="2">
        <v>319.2</v>
      </c>
      <c r="L17" s="2">
        <v>357.4</v>
      </c>
      <c r="M17" s="2">
        <v>385</v>
      </c>
      <c r="N17" s="2">
        <v>315.60000000000002</v>
      </c>
      <c r="O17" s="1">
        <v>337.6</v>
      </c>
      <c r="P17" s="2">
        <v>393</v>
      </c>
      <c r="Q17" s="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x14ac:dyDescent="0.2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s="2"/>
      <c r="Q18" s="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 x14ac:dyDescent="0.2">
      <c r="A19" s="8" t="s">
        <v>69</v>
      </c>
      <c r="B19" s="2"/>
      <c r="C19" s="2"/>
      <c r="D19" s="2"/>
      <c r="E19" s="2"/>
      <c r="F19" s="2"/>
      <c r="G19" s="2"/>
      <c r="H19" s="2"/>
      <c r="I19" s="2"/>
      <c r="J19" s="10">
        <v>9785454</v>
      </c>
      <c r="K19" s="10">
        <f>20383442-J19</f>
        <v>10597988</v>
      </c>
      <c r="L19" s="10">
        <f>31511767-SUM(J19:K19)</f>
        <v>11128325</v>
      </c>
      <c r="M19" s="2">
        <f>+AC19-SUM(J19:L19)</f>
        <v>10136363</v>
      </c>
      <c r="N19" s="10">
        <v>10845224</v>
      </c>
      <c r="O19" s="10">
        <f>21263215-N19</f>
        <v>10417991</v>
      </c>
      <c r="P19" s="10">
        <f>32642249-SUM(N19:O19)</f>
        <v>11379034</v>
      </c>
      <c r="Q19" s="2"/>
      <c r="S19" s="7"/>
      <c r="T19" s="7"/>
      <c r="U19" s="7"/>
      <c r="V19" s="7"/>
      <c r="W19" s="7"/>
      <c r="X19" s="7"/>
      <c r="Y19" s="7"/>
      <c r="Z19" s="7"/>
      <c r="AA19" s="7"/>
      <c r="AB19" s="10">
        <v>34367619</v>
      </c>
      <c r="AC19" s="10">
        <v>41648130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x14ac:dyDescent="0.2">
      <c r="A20" s="8" t="s">
        <v>70</v>
      </c>
      <c r="B20" s="2"/>
      <c r="C20" s="2"/>
      <c r="D20" s="2"/>
      <c r="E20" s="2"/>
      <c r="F20" s="2"/>
      <c r="G20" s="2"/>
      <c r="H20" s="2"/>
      <c r="I20" s="2"/>
      <c r="J20" s="1">
        <v>761377</v>
      </c>
      <c r="K20" s="1">
        <f>1598175-J20</f>
        <v>836798</v>
      </c>
      <c r="L20" s="1">
        <f>2510953-SUM(J20:K20)</f>
        <v>912778</v>
      </c>
      <c r="M20" s="2">
        <f>+AC20-SUM(J20:L20)</f>
        <v>936242</v>
      </c>
      <c r="N20" s="1">
        <v>992656</v>
      </c>
      <c r="O20" s="1">
        <f>2019235-N20</f>
        <v>1026579</v>
      </c>
      <c r="P20" s="1">
        <f>3031296-SUM(N20:O20)</f>
        <v>1012061</v>
      </c>
      <c r="Q20" s="2"/>
      <c r="S20" s="7"/>
      <c r="T20" s="7"/>
      <c r="U20" s="7"/>
      <c r="V20" s="7"/>
      <c r="W20" s="7"/>
      <c r="X20" s="7"/>
      <c r="Y20" s="7"/>
      <c r="Z20" s="7"/>
      <c r="AA20" s="7"/>
      <c r="AB20" s="1">
        <v>2786679</v>
      </c>
      <c r="AC20" s="1">
        <v>3447195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s="9" customFormat="1" x14ac:dyDescent="0.2">
      <c r="A21" s="9" t="s">
        <v>0</v>
      </c>
      <c r="J21" s="9">
        <f>+J19+J20</f>
        <v>10546831</v>
      </c>
      <c r="K21" s="9">
        <f>+K19+K20</f>
        <v>11434786</v>
      </c>
      <c r="L21" s="9">
        <f>+L19+L20</f>
        <v>12041103</v>
      </c>
      <c r="M21" s="9">
        <f>+M19+M20</f>
        <v>11072605</v>
      </c>
      <c r="N21" s="9">
        <f>+N19+N20</f>
        <v>11837880</v>
      </c>
      <c r="O21" s="9">
        <f>+O19+O20</f>
        <v>11444570</v>
      </c>
      <c r="P21" s="9">
        <f>+P19+P20</f>
        <v>12391095</v>
      </c>
      <c r="AB21" s="9">
        <f>+AB19+AB20</f>
        <v>37154298</v>
      </c>
      <c r="AC21" s="9">
        <f>+AC19+AC20</f>
        <v>45095325</v>
      </c>
    </row>
    <row r="22" spans="1:39" s="10" customFormat="1" x14ac:dyDescent="0.2">
      <c r="A22" s="10" t="s">
        <v>71</v>
      </c>
      <c r="J22" s="10">
        <v>8040979</v>
      </c>
      <c r="K22" s="10">
        <f>16542695-J22</f>
        <v>8501716</v>
      </c>
      <c r="L22" s="10">
        <f>25345445-SUM(J22:K22)</f>
        <v>8802750</v>
      </c>
      <c r="M22" s="2">
        <f t="shared" ref="M22:M24" si="0">+AC22-SUM(J22:L22)</f>
        <v>8255167</v>
      </c>
      <c r="N22" s="10">
        <v>8774492</v>
      </c>
      <c r="O22" s="10">
        <f>17134152-N22</f>
        <v>8359660</v>
      </c>
      <c r="P22" s="10">
        <f>26493139-SUM(N22:O22)</f>
        <v>9358987</v>
      </c>
      <c r="AB22" s="10">
        <v>29128561</v>
      </c>
      <c r="AC22" s="10">
        <v>33600612</v>
      </c>
    </row>
    <row r="23" spans="1:39" x14ac:dyDescent="0.2">
      <c r="A23" s="1" t="s">
        <v>72</v>
      </c>
      <c r="J23" s="1">
        <v>442948</v>
      </c>
      <c r="K23" s="1">
        <f>1006082-J23</f>
        <v>563134</v>
      </c>
      <c r="L23" s="1">
        <f>1559145-SUM(J23:K23)</f>
        <v>553063</v>
      </c>
      <c r="M23" s="2">
        <f t="shared" si="0"/>
        <v>567250</v>
      </c>
      <c r="N23" s="1">
        <v>634942</v>
      </c>
      <c r="O23" s="1">
        <f>1281362-N23</f>
        <v>646420</v>
      </c>
      <c r="P23" s="1">
        <f>1934561-SUM(N23:O23)</f>
        <v>653199</v>
      </c>
      <c r="AB23" s="1">
        <v>1712721</v>
      </c>
      <c r="AC23" s="1">
        <v>2126395</v>
      </c>
    </row>
    <row r="24" spans="1:39" x14ac:dyDescent="0.2">
      <c r="A24" s="1" t="s">
        <v>1</v>
      </c>
      <c r="J24" s="1">
        <v>942003</v>
      </c>
      <c r="K24" s="1">
        <f>1873546-J24</f>
        <v>931543</v>
      </c>
      <c r="L24" s="1">
        <f>2877893-SUM(J24:K24)</f>
        <v>1004347</v>
      </c>
      <c r="M24" s="2">
        <f t="shared" si="0"/>
        <v>1137490</v>
      </c>
      <c r="N24" s="1">
        <v>1119984</v>
      </c>
      <c r="O24" s="1">
        <f>2402719-N24</f>
        <v>1282735</v>
      </c>
      <c r="P24" s="1">
        <f>3566354-SUM(N24:O24)</f>
        <v>1163635</v>
      </c>
      <c r="AB24" s="1">
        <v>3587990</v>
      </c>
      <c r="AC24" s="1">
        <v>4015383</v>
      </c>
    </row>
    <row r="25" spans="1:39" x14ac:dyDescent="0.2">
      <c r="A25" s="1" t="s">
        <v>2</v>
      </c>
      <c r="J25" s="1">
        <f>+SUM(J22:J24)</f>
        <v>9425930</v>
      </c>
      <c r="K25" s="1">
        <f>+SUM(K22:K24)</f>
        <v>9996393</v>
      </c>
      <c r="L25" s="1">
        <f>+SUM(L22:L24)</f>
        <v>10360160</v>
      </c>
      <c r="M25" s="1">
        <f>+SUM(M22:M24)</f>
        <v>9959907</v>
      </c>
      <c r="N25" s="1">
        <f>+SUM(N22:N24)</f>
        <v>10529418</v>
      </c>
      <c r="O25" s="1">
        <f>+SUM(O22:O24)</f>
        <v>10288815</v>
      </c>
      <c r="P25" s="1">
        <f>+SUM(P22:P24)</f>
        <v>11175821</v>
      </c>
      <c r="AB25" s="1">
        <f>+SUM(AB22:AB24)</f>
        <v>34429272</v>
      </c>
      <c r="AC25" s="1">
        <f>+SUM(AC22:AC24)</f>
        <v>39742390</v>
      </c>
    </row>
    <row r="26" spans="1:39" s="9" customFormat="1" x14ac:dyDescent="0.2">
      <c r="A26" s="9" t="s">
        <v>3</v>
      </c>
      <c r="J26" s="9">
        <f>+J21-J25</f>
        <v>1120901</v>
      </c>
      <c r="K26" s="9">
        <f>+K21-K25</f>
        <v>1438393</v>
      </c>
      <c r="L26" s="9">
        <f>+L21-L25</f>
        <v>1680943</v>
      </c>
      <c r="M26" s="9">
        <f>+M21-M25</f>
        <v>1112698</v>
      </c>
      <c r="N26" s="9">
        <f>+N21-N25</f>
        <v>1308462</v>
      </c>
      <c r="O26" s="9">
        <f>+O21-O25</f>
        <v>1155755</v>
      </c>
      <c r="P26" s="9">
        <f>+P21-P25</f>
        <v>1215274</v>
      </c>
      <c r="AB26" s="9">
        <f>+AB21-AB25</f>
        <v>2725026</v>
      </c>
      <c r="AC26" s="9">
        <f>+AC21-AC25</f>
        <v>5352935</v>
      </c>
    </row>
    <row r="27" spans="1:39" x14ac:dyDescent="0.2">
      <c r="A27" s="1" t="s">
        <v>4</v>
      </c>
      <c r="J27" s="1">
        <f>190127-23339</f>
        <v>166788</v>
      </c>
      <c r="K27" s="1">
        <f>337941-44300-J27</f>
        <v>126853</v>
      </c>
      <c r="L27" s="1">
        <f>544304-78752-SUM(J27:K27)</f>
        <v>171911</v>
      </c>
      <c r="M27" s="2">
        <f t="shared" ref="M27" si="1">+AC27-SUM(J27:L27)</f>
        <v>177975</v>
      </c>
      <c r="N27" s="1">
        <f>173800-16509</f>
        <v>157291</v>
      </c>
      <c r="O27" s="1">
        <f>270945-53694-N27</f>
        <v>59960</v>
      </c>
      <c r="P27" s="1">
        <f>424735-161266-SUM(N27:O27)</f>
        <v>46218</v>
      </c>
      <c r="AB27" s="1">
        <f>379350-125113</f>
        <v>254237</v>
      </c>
      <c r="AC27" s="1">
        <f>747236-103709</f>
        <v>643527</v>
      </c>
    </row>
    <row r="28" spans="1:39" x14ac:dyDescent="0.2">
      <c r="A28" s="1" t="s">
        <v>5</v>
      </c>
      <c r="J28" s="1">
        <f>+J26+J27</f>
        <v>1287689</v>
      </c>
      <c r="K28" s="1">
        <f>+K26+K27</f>
        <v>1565246</v>
      </c>
      <c r="L28" s="1">
        <f>+L26+L27</f>
        <v>1852854</v>
      </c>
      <c r="M28" s="1">
        <f>+M26+M27</f>
        <v>1290673</v>
      </c>
      <c r="N28" s="1">
        <f>+N26+N27</f>
        <v>1465753</v>
      </c>
      <c r="O28" s="1">
        <f>+O26+O27</f>
        <v>1215715</v>
      </c>
      <c r="P28" s="1">
        <f>+P26+P27</f>
        <v>1261492</v>
      </c>
      <c r="AB28" s="1">
        <f>+AB26+AB27</f>
        <v>2979263</v>
      </c>
      <c r="AC28" s="1">
        <f>+AC26+AC27</f>
        <v>5996462</v>
      </c>
    </row>
    <row r="29" spans="1:39" x14ac:dyDescent="0.2">
      <c r="A29" s="1" t="s">
        <v>6</v>
      </c>
      <c r="J29" s="1">
        <v>393663</v>
      </c>
      <c r="K29" s="1">
        <f>874004-J29</f>
        <v>480341</v>
      </c>
      <c r="L29" s="1">
        <f>1325441-SUM(J29:K29)</f>
        <v>451437</v>
      </c>
      <c r="M29" s="2">
        <f t="shared" ref="M29" si="2">+AC29-SUM(J29:L29)</f>
        <v>568224</v>
      </c>
      <c r="N29" s="1">
        <v>508435</v>
      </c>
      <c r="O29" s="1">
        <f>866418-N29</f>
        <v>357983</v>
      </c>
      <c r="P29" s="1">
        <f>1350751-SUM(N29:O29)</f>
        <v>484333</v>
      </c>
      <c r="AB29" s="1">
        <v>1175765</v>
      </c>
      <c r="AC29" s="1">
        <v>1893665</v>
      </c>
    </row>
    <row r="30" spans="1:39" s="9" customFormat="1" x14ac:dyDescent="0.2">
      <c r="A30" s="9" t="s">
        <v>7</v>
      </c>
      <c r="J30" s="9">
        <f>+J28-J29</f>
        <v>894026</v>
      </c>
      <c r="K30" s="9">
        <f>+K28-K29</f>
        <v>1084905</v>
      </c>
      <c r="L30" s="9">
        <f>+L28-L29</f>
        <v>1401417</v>
      </c>
      <c r="M30" s="9">
        <f>+M28-M29</f>
        <v>722449</v>
      </c>
      <c r="N30" s="9">
        <f>+N28-N29</f>
        <v>957318</v>
      </c>
      <c r="O30" s="9">
        <f>+O28-O29</f>
        <v>857732</v>
      </c>
      <c r="P30" s="9">
        <f>+P28-P29</f>
        <v>777159</v>
      </c>
      <c r="AB30" s="9">
        <f>+AB28-AB29</f>
        <v>1803498</v>
      </c>
      <c r="AC30" s="9">
        <f>+AC28-AC29</f>
        <v>4102797</v>
      </c>
    </row>
    <row r="31" spans="1:39" s="4" customFormat="1" x14ac:dyDescent="0.2">
      <c r="A31" s="4" t="s">
        <v>8</v>
      </c>
      <c r="J31" s="4">
        <f t="shared" ref="J31:O31" si="3">+J30/J32</f>
        <v>65.952215784490136</v>
      </c>
      <c r="K31" s="4">
        <f t="shared" si="3"/>
        <v>80.229091574780298</v>
      </c>
      <c r="L31" s="4">
        <f t="shared" si="3"/>
        <v>103.85378551298193</v>
      </c>
      <c r="M31" s="4">
        <f t="shared" si="3"/>
        <v>53.598087469984648</v>
      </c>
      <c r="N31" s="4">
        <f t="shared" si="3"/>
        <v>71.074815112278898</v>
      </c>
      <c r="O31" s="4">
        <f t="shared" si="3"/>
        <v>64.187227714432652</v>
      </c>
      <c r="P31" s="4">
        <f>+P30/P32</f>
        <v>59.268085900997981</v>
      </c>
      <c r="AB31" s="4">
        <f>+AB30/AB32</f>
        <v>132.04331475038248</v>
      </c>
      <c r="AC31" s="4">
        <f>+AC30/AC32</f>
        <v>303.62192239186163</v>
      </c>
    </row>
    <row r="32" spans="1:39" x14ac:dyDescent="0.2">
      <c r="A32" s="1" t="s">
        <v>9</v>
      </c>
      <c r="J32" s="1">
        <v>13555.662829000001</v>
      </c>
      <c r="K32" s="1">
        <f>13539.12572*2-J32</f>
        <v>13522.588610999999</v>
      </c>
      <c r="L32" s="1">
        <f>13524.128807*3-SUM(J32:K32)</f>
        <v>13494.134980999996</v>
      </c>
      <c r="M32" s="1">
        <f>+AC32*4-SUM(J32:L32)</f>
        <v>13479.007071000007</v>
      </c>
      <c r="N32" s="1">
        <v>13469.159202000001</v>
      </c>
      <c r="O32" s="1">
        <f>13416.064614*2-N32</f>
        <v>13362.970026000001</v>
      </c>
      <c r="P32" s="1">
        <f>13314.911412*3-SUM(N32:O32)</f>
        <v>13112.605007999995</v>
      </c>
      <c r="AB32" s="1">
        <v>13658.381746999999</v>
      </c>
      <c r="AC32" s="1">
        <v>13512.848373000001</v>
      </c>
    </row>
    <row r="34" spans="1:29" s="3" customFormat="1" x14ac:dyDescent="0.2">
      <c r="A34" s="3" t="s">
        <v>10</v>
      </c>
      <c r="J34" s="3">
        <f>+J26/J21</f>
        <v>0.10627846411874808</v>
      </c>
      <c r="K34" s="3">
        <f>+K26/K21</f>
        <v>0.125790985506856</v>
      </c>
      <c r="L34" s="3">
        <f>+L26/L21</f>
        <v>0.13960041700498702</v>
      </c>
      <c r="M34" s="3">
        <f>+M26/M21</f>
        <v>0.10049107685138231</v>
      </c>
      <c r="N34" s="3">
        <f>+N26/N21</f>
        <v>0.11053178440734321</v>
      </c>
      <c r="O34" s="3">
        <f>+O26/O21</f>
        <v>0.10098719305312476</v>
      </c>
      <c r="P34" s="3">
        <f>+P26/P21</f>
        <v>9.807640083463165E-2</v>
      </c>
      <c r="AB34" s="3">
        <f>+AB26/AB21</f>
        <v>7.3343493126959369E-2</v>
      </c>
      <c r="AC34" s="3">
        <f>+AC26/AC21</f>
        <v>0.11870265931113702</v>
      </c>
    </row>
    <row r="35" spans="1:29" s="3" customFormat="1" x14ac:dyDescent="0.2">
      <c r="A35" s="3" t="s">
        <v>11</v>
      </c>
      <c r="J35" s="3">
        <f>+J30/J21</f>
        <v>8.4767263266093865E-2</v>
      </c>
      <c r="K35" s="3">
        <f>+K30/K21</f>
        <v>9.4877595435542042E-2</v>
      </c>
      <c r="L35" s="3">
        <f>+L30/L21</f>
        <v>0.11638609851605787</v>
      </c>
      <c r="M35" s="3">
        <f>+M30/M21</f>
        <v>6.5246525095043126E-2</v>
      </c>
      <c r="N35" s="3">
        <f>+N30/N21</f>
        <v>8.0869040740402839E-2</v>
      </c>
      <c r="O35" s="3">
        <f>+O30/O21</f>
        <v>7.4946634080616401E-2</v>
      </c>
      <c r="P35" s="3">
        <f>+P30/P21</f>
        <v>6.2719154360449988E-2</v>
      </c>
      <c r="AB35" s="3">
        <f>+AB30/AB21</f>
        <v>4.8540763709221474E-2</v>
      </c>
      <c r="AC35" s="3">
        <f>+AC30/AC21</f>
        <v>9.0980539557038345E-2</v>
      </c>
    </row>
    <row r="36" spans="1:29" s="3" customFormat="1" x14ac:dyDescent="0.2">
      <c r="A36" s="3" t="s">
        <v>12</v>
      </c>
      <c r="J36" s="3">
        <f>+J29/J28</f>
        <v>0.30571279245221478</v>
      </c>
      <c r="K36" s="3">
        <f>+K29/K28</f>
        <v>0.30687891871309686</v>
      </c>
      <c r="L36" s="3">
        <f>+L29/L28</f>
        <v>0.24364412954285658</v>
      </c>
      <c r="M36" s="3">
        <f>+M29/M28</f>
        <v>0.44025403800962754</v>
      </c>
      <c r="N36" s="3">
        <f>+N29/N28</f>
        <v>0.34687631545014747</v>
      </c>
      <c r="O36" s="3">
        <f>+O29/O28</f>
        <v>0.29446292922272077</v>
      </c>
      <c r="P36" s="3">
        <f>+P29/P28</f>
        <v>0.38393664010552586</v>
      </c>
      <c r="AB36" s="3">
        <f>+AB29/AB28</f>
        <v>0.39464961636485263</v>
      </c>
      <c r="AC36" s="3">
        <f>+AC29/AC28</f>
        <v>0.31579704832616301</v>
      </c>
    </row>
    <row r="37" spans="1:29" s="3" customFormat="1" x14ac:dyDescent="0.2"/>
    <row r="38" spans="1:29" s="11" customFormat="1" x14ac:dyDescent="0.2">
      <c r="A38" s="11" t="s">
        <v>13</v>
      </c>
      <c r="J38" s="11" t="e">
        <f>+J21/F21-1</f>
        <v>#DIV/0!</v>
      </c>
      <c r="K38" s="11" t="e">
        <f>+K21/G21-1</f>
        <v>#DIV/0!</v>
      </c>
      <c r="L38" s="11" t="e">
        <f>+L21/H21-1</f>
        <v>#DIV/0!</v>
      </c>
      <c r="M38" s="11" t="e">
        <f>+M21/I21-1</f>
        <v>#DIV/0!</v>
      </c>
      <c r="N38" s="11">
        <f>+N21/J21-1</f>
        <v>0.12241108253275312</v>
      </c>
      <c r="O38" s="11">
        <f>+O21/K21-1</f>
        <v>8.5563472722616218E-4</v>
      </c>
      <c r="P38" s="11">
        <f>+P21/L21-1</f>
        <v>2.9066440175787855E-2</v>
      </c>
      <c r="AC38" s="11">
        <f>+AC21/AB21-1</f>
        <v>0.21373104667460008</v>
      </c>
    </row>
    <row r="40" spans="1:29" x14ac:dyDescent="0.2">
      <c r="A40" s="1" t="s">
        <v>74</v>
      </c>
      <c r="P40" s="1">
        <f>+P41-P55</f>
        <v>-25757712</v>
      </c>
    </row>
    <row r="41" spans="1:29" x14ac:dyDescent="0.2">
      <c r="A41" s="1" t="s">
        <v>15</v>
      </c>
      <c r="P41" s="1">
        <f>8285156+5536818</f>
        <v>13821974</v>
      </c>
    </row>
    <row r="42" spans="1:29" x14ac:dyDescent="0.2">
      <c r="A42" s="1" t="s">
        <v>75</v>
      </c>
      <c r="P42" s="1">
        <v>3839900</v>
      </c>
    </row>
    <row r="43" spans="1:29" x14ac:dyDescent="0.2">
      <c r="A43" s="1" t="s">
        <v>76</v>
      </c>
      <c r="P43" s="1">
        <f>11860535+22884954</f>
        <v>34745489</v>
      </c>
    </row>
    <row r="44" spans="1:29" x14ac:dyDescent="0.2">
      <c r="A44" s="1" t="s">
        <v>77</v>
      </c>
      <c r="P44" s="1">
        <f>5596225+11520730</f>
        <v>17116955</v>
      </c>
    </row>
    <row r="45" spans="1:29" x14ac:dyDescent="0.2">
      <c r="A45" s="1" t="s">
        <v>78</v>
      </c>
      <c r="P45" s="1">
        <v>4480884</v>
      </c>
    </row>
    <row r="46" spans="1:29" x14ac:dyDescent="0.2">
      <c r="A46" s="1" t="s">
        <v>79</v>
      </c>
      <c r="P46" s="1">
        <v>398504</v>
      </c>
    </row>
    <row r="47" spans="1:29" x14ac:dyDescent="0.2">
      <c r="A47" s="1" t="s">
        <v>80</v>
      </c>
      <c r="P47" s="1">
        <v>1299777</v>
      </c>
    </row>
    <row r="48" spans="1:29" x14ac:dyDescent="0.2">
      <c r="A48" s="1" t="s">
        <v>81</v>
      </c>
      <c r="P48" s="1">
        <v>15404824</v>
      </c>
    </row>
    <row r="49" spans="1:16" x14ac:dyDescent="0.2">
      <c r="A49" s="1" t="s">
        <v>82</v>
      </c>
      <c r="P49" s="1">
        <v>552683</v>
      </c>
    </row>
    <row r="50" spans="1:16" x14ac:dyDescent="0.2">
      <c r="A50" s="1" t="s">
        <v>83</v>
      </c>
      <c r="P50" s="1">
        <v>1312965</v>
      </c>
    </row>
    <row r="51" spans="1:16" x14ac:dyDescent="0.2">
      <c r="A51" s="1" t="s">
        <v>84</v>
      </c>
      <c r="P51" s="1">
        <v>572974</v>
      </c>
    </row>
    <row r="52" spans="1:16" x14ac:dyDescent="0.2">
      <c r="A52" s="1" t="s">
        <v>85</v>
      </c>
      <c r="P52" s="1">
        <v>1127489</v>
      </c>
    </row>
    <row r="53" spans="1:16" s="9" customFormat="1" x14ac:dyDescent="0.2">
      <c r="A53" s="9" t="s">
        <v>86</v>
      </c>
      <c r="P53" s="9">
        <f>+SUM(P41:P52)</f>
        <v>94674418</v>
      </c>
    </row>
    <row r="54" spans="1:16" x14ac:dyDescent="0.2">
      <c r="A54" s="1" t="s">
        <v>87</v>
      </c>
      <c r="P54" s="1">
        <v>5059373</v>
      </c>
    </row>
    <row r="55" spans="1:16" x14ac:dyDescent="0.2">
      <c r="A55" s="1" t="s">
        <v>16</v>
      </c>
      <c r="P55" s="1">
        <f>16059840+23519846</f>
        <v>39579686</v>
      </c>
    </row>
    <row r="56" spans="1:16" x14ac:dyDescent="0.2">
      <c r="A56" s="1" t="s">
        <v>88</v>
      </c>
      <c r="P56" s="1">
        <v>1791128</v>
      </c>
    </row>
    <row r="57" spans="1:16" x14ac:dyDescent="0.2">
      <c r="A57" s="1" t="s">
        <v>77</v>
      </c>
      <c r="P57" s="1">
        <f>1952967+546431</f>
        <v>2499398</v>
      </c>
    </row>
    <row r="58" spans="1:16" x14ac:dyDescent="0.2">
      <c r="A58" s="1" t="s">
        <v>89</v>
      </c>
      <c r="P58" s="1">
        <v>448715</v>
      </c>
    </row>
    <row r="59" spans="1:16" x14ac:dyDescent="0.2">
      <c r="A59" s="1" t="s">
        <v>90</v>
      </c>
      <c r="P59" s="1">
        <v>1950832</v>
      </c>
    </row>
    <row r="60" spans="1:16" x14ac:dyDescent="0.2">
      <c r="A60" s="1" t="s">
        <v>91</v>
      </c>
      <c r="P60" s="1">
        <v>2178159</v>
      </c>
    </row>
    <row r="61" spans="1:16" x14ac:dyDescent="0.2">
      <c r="A61" s="1" t="s">
        <v>92</v>
      </c>
      <c r="P61" s="1">
        <v>1132067</v>
      </c>
    </row>
    <row r="62" spans="1:16" x14ac:dyDescent="0.2">
      <c r="A62" s="1" t="s">
        <v>84</v>
      </c>
      <c r="P62" s="1">
        <v>2146940</v>
      </c>
    </row>
    <row r="63" spans="1:16" x14ac:dyDescent="0.2">
      <c r="A63" s="1" t="s">
        <v>93</v>
      </c>
      <c r="P63" s="1">
        <v>1031593</v>
      </c>
    </row>
    <row r="64" spans="1:16" s="9" customFormat="1" x14ac:dyDescent="0.2">
      <c r="A64" s="9" t="s">
        <v>94</v>
      </c>
      <c r="P64" s="9">
        <f>+SUM(P54:P63)</f>
        <v>57817891</v>
      </c>
    </row>
    <row r="65" spans="1:29" x14ac:dyDescent="0.2">
      <c r="A65" s="1" t="s">
        <v>95</v>
      </c>
      <c r="P65" s="1">
        <v>36856527</v>
      </c>
    </row>
    <row r="66" spans="1:29" x14ac:dyDescent="0.2">
      <c r="A66" s="1" t="s">
        <v>96</v>
      </c>
      <c r="P66" s="1">
        <f>+P65+P64</f>
        <v>94674418</v>
      </c>
    </row>
    <row r="68" spans="1:29" x14ac:dyDescent="0.2">
      <c r="A68" s="1" t="s">
        <v>97</v>
      </c>
      <c r="P68" s="1">
        <f>+SUM(M30:P30)</f>
        <v>3314658</v>
      </c>
    </row>
    <row r="69" spans="1:29" s="3" customFormat="1" x14ac:dyDescent="0.2">
      <c r="A69" s="3" t="s">
        <v>98</v>
      </c>
      <c r="P69" s="3">
        <f>+P68/(P42+P43+P44+P45+P46+P47+P48+P49+P51+P52)</f>
        <v>4.1673116817876062E-2</v>
      </c>
    </row>
    <row r="71" spans="1:29" x14ac:dyDescent="0.2">
      <c r="A71" s="1" t="s">
        <v>99</v>
      </c>
      <c r="J71" s="1">
        <v>1358218</v>
      </c>
      <c r="K71" s="1">
        <f>2278079-J71</f>
        <v>919861</v>
      </c>
      <c r="L71" s="1">
        <f>2786141-SUM(J71:K71)</f>
        <v>508062</v>
      </c>
      <c r="M71" s="1">
        <f>+AC71-SUM(J71:L71)</f>
        <v>1420232</v>
      </c>
      <c r="N71" s="1">
        <v>683661</v>
      </c>
      <c r="O71" s="1">
        <f>1817177-N71</f>
        <v>1133516</v>
      </c>
      <c r="P71" s="1">
        <f>2823725-SUM(N71:O71)</f>
        <v>1006548</v>
      </c>
      <c r="AB71" s="1">
        <v>2955076</v>
      </c>
      <c r="AC71" s="1">
        <v>4206373</v>
      </c>
    </row>
    <row r="72" spans="1:29" x14ac:dyDescent="0.2">
      <c r="A72" s="1" t="s">
        <v>100</v>
      </c>
      <c r="J72" s="1">
        <v>-458706</v>
      </c>
      <c r="K72" s="1">
        <f>-847498-J72</f>
        <v>-388792</v>
      </c>
      <c r="L72" s="1">
        <f>-1242206-SUM(J72:K72)</f>
        <v>-394708</v>
      </c>
      <c r="M72" s="1">
        <f>+AC72-SUM(J72:L72)</f>
        <v>-604241</v>
      </c>
      <c r="N72" s="1">
        <v>-405618</v>
      </c>
      <c r="O72" s="1">
        <f>-848071-N72</f>
        <v>-442453</v>
      </c>
      <c r="P72" s="1">
        <f>-1346216-SUM(N72:O72)</f>
        <v>-498145</v>
      </c>
      <c r="AB72" s="1">
        <v>-1450196</v>
      </c>
      <c r="AC72" s="1">
        <v>-1846447</v>
      </c>
    </row>
    <row r="73" spans="1:29" x14ac:dyDescent="0.2">
      <c r="A73" s="1" t="s">
        <v>101</v>
      </c>
      <c r="J73" s="1">
        <f t="shared" ref="J73:O73" si="4">+J71+J72</f>
        <v>899512</v>
      </c>
      <c r="K73" s="1">
        <f t="shared" si="4"/>
        <v>531069</v>
      </c>
      <c r="L73" s="1">
        <f t="shared" si="4"/>
        <v>113354</v>
      </c>
      <c r="M73" s="1">
        <f t="shared" si="4"/>
        <v>815991</v>
      </c>
      <c r="N73" s="1">
        <f t="shared" si="4"/>
        <v>278043</v>
      </c>
      <c r="O73" s="1">
        <f t="shared" si="4"/>
        <v>691063</v>
      </c>
      <c r="P73" s="1">
        <f>+P71+P72</f>
        <v>508403</v>
      </c>
      <c r="AB73" s="1">
        <f>+AB71+AB72</f>
        <v>1504880</v>
      </c>
      <c r="AC73" s="1">
        <f>+AC71+AC72</f>
        <v>2359926</v>
      </c>
    </row>
    <row r="75" spans="1:29" x14ac:dyDescent="0.2">
      <c r="A75" s="1" t="s">
        <v>105</v>
      </c>
      <c r="J75" s="1">
        <f t="shared" ref="J75:O75" si="5">+J30/J3</f>
        <v>6525.7372262773724</v>
      </c>
      <c r="K75" s="1">
        <f t="shared" si="5"/>
        <v>7482.1034482758623</v>
      </c>
      <c r="L75" s="1">
        <f t="shared" si="5"/>
        <v>8869.7278481012654</v>
      </c>
      <c r="M75" s="1">
        <f t="shared" si="5"/>
        <v>4848.6510067114095</v>
      </c>
      <c r="N75" s="1">
        <f t="shared" si="5"/>
        <v>6136.6538461538457</v>
      </c>
      <c r="O75" s="1">
        <f t="shared" si="5"/>
        <v>5718.2133333333331</v>
      </c>
      <c r="P75" s="1">
        <f>+P30/P3</f>
        <v>5112.8881578947367</v>
      </c>
    </row>
    <row r="76" spans="1:29" x14ac:dyDescent="0.2">
      <c r="A76" s="1" t="s">
        <v>102</v>
      </c>
      <c r="J76" s="1">
        <f t="shared" ref="J76:O76" si="6">+J73/J3</f>
        <v>6565.7810218978102</v>
      </c>
      <c r="K76" s="1">
        <f t="shared" si="6"/>
        <v>3662.5448275862068</v>
      </c>
      <c r="L76" s="1">
        <f t="shared" si="6"/>
        <v>717.43037974683546</v>
      </c>
      <c r="M76" s="1">
        <f t="shared" si="6"/>
        <v>5476.4496644295305</v>
      </c>
      <c r="N76" s="1">
        <f t="shared" si="6"/>
        <v>1782.3269230769231</v>
      </c>
      <c r="O76" s="1">
        <f t="shared" si="6"/>
        <v>4607.086666666667</v>
      </c>
      <c r="P76" s="1">
        <f>+P73/P3</f>
        <v>3344.7565789473683</v>
      </c>
      <c r="AC76" s="1">
        <f>+AC73/AC3</f>
        <v>16026.662139219015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2025-05-04T08:24:24Z</dcterms:created>
  <dcterms:modified xsi:type="dcterms:W3CDTF">2025-05-04T12:35:47Z</dcterms:modified>
</cp:coreProperties>
</file>