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6B1BA38F-D6EC-4026-A876-0D24C70007F9}" xr6:coauthVersionLast="47" xr6:coauthVersionMax="47" xr10:uidLastSave="{00000000-0000-0000-0000-000000000000}"/>
  <bookViews>
    <workbookView xWindow="0" yWindow="0" windowWidth="14400" windowHeight="15600" xr2:uid="{5E51B682-65B2-43A6-9FFD-976C46DEE29D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4" i="1"/>
  <c r="P101" i="2"/>
  <c r="P96" i="2"/>
  <c r="P94" i="2"/>
  <c r="P95" i="2"/>
  <c r="P93" i="2"/>
  <c r="P92" i="2"/>
  <c r="P89" i="2"/>
  <c r="P88" i="2"/>
  <c r="P87" i="2"/>
  <c r="P83" i="2"/>
  <c r="P82" i="2"/>
  <c r="P81" i="2"/>
  <c r="P80" i="2"/>
  <c r="P79" i="2"/>
  <c r="P78" i="2"/>
  <c r="P77" i="2"/>
  <c r="P76" i="2"/>
  <c r="P75" i="2"/>
  <c r="P74" i="2"/>
  <c r="P73" i="2"/>
  <c r="P64" i="2"/>
  <c r="P53" i="2"/>
  <c r="P70" i="2"/>
  <c r="P71" i="2" s="1"/>
  <c r="P66" i="2"/>
  <c r="P68" i="2" s="1"/>
  <c r="P60" i="2"/>
  <c r="P52" i="2"/>
  <c r="P33" i="2"/>
  <c r="P36" i="2"/>
  <c r="P32" i="2"/>
  <c r="P29" i="2"/>
  <c r="P25" i="2"/>
  <c r="P24" i="2"/>
  <c r="P23" i="2"/>
  <c r="P22" i="2"/>
  <c r="P21" i="2"/>
  <c r="P13" i="2"/>
  <c r="P12" i="2"/>
  <c r="P11" i="2"/>
  <c r="P10" i="2"/>
  <c r="P9" i="2"/>
  <c r="D6" i="1"/>
  <c r="D8" i="1"/>
  <c r="F4" i="1"/>
  <c r="C15" i="1"/>
  <c r="E15" i="1"/>
  <c r="V101" i="2"/>
  <c r="U101" i="2"/>
  <c r="U36" i="2"/>
  <c r="U33" i="2"/>
  <c r="U45" i="2" s="1"/>
  <c r="V36" i="2"/>
  <c r="V33" i="2"/>
  <c r="V45" i="2" s="1"/>
  <c r="X101" i="2"/>
  <c r="W101" i="2"/>
  <c r="W36" i="2"/>
  <c r="W33" i="2"/>
  <c r="X50" i="2"/>
  <c r="W50" i="2"/>
  <c r="V50" i="2"/>
  <c r="X36" i="2"/>
  <c r="X33" i="2"/>
  <c r="X45" i="2" s="1"/>
  <c r="Z101" i="2"/>
  <c r="Y101" i="2"/>
  <c r="AA13" i="2"/>
  <c r="Z13" i="2"/>
  <c r="AA12" i="2"/>
  <c r="Z12" i="2"/>
  <c r="AA11" i="2"/>
  <c r="Z11" i="2"/>
  <c r="AA10" i="2"/>
  <c r="Z10" i="2"/>
  <c r="AA9" i="2"/>
  <c r="Z9" i="2"/>
  <c r="AB101" i="2"/>
  <c r="AA101" i="2"/>
  <c r="AC13" i="2"/>
  <c r="AB13" i="2"/>
  <c r="AC12" i="2"/>
  <c r="AB12" i="2"/>
  <c r="AC11" i="2"/>
  <c r="AB11" i="2"/>
  <c r="AC10" i="2"/>
  <c r="AB10" i="2"/>
  <c r="AC9" i="2"/>
  <c r="AB9" i="2"/>
  <c r="AC101" i="2"/>
  <c r="AD101" i="2"/>
  <c r="AD25" i="2"/>
  <c r="AC25" i="2"/>
  <c r="AB25" i="2"/>
  <c r="AA25" i="2"/>
  <c r="Z25" i="2"/>
  <c r="AD24" i="2"/>
  <c r="AC24" i="2"/>
  <c r="AB24" i="2"/>
  <c r="AA24" i="2"/>
  <c r="Z24" i="2"/>
  <c r="AD23" i="2"/>
  <c r="AC23" i="2"/>
  <c r="AB23" i="2"/>
  <c r="AA23" i="2"/>
  <c r="Z23" i="2"/>
  <c r="AD22" i="2"/>
  <c r="AC22" i="2"/>
  <c r="AB22" i="2"/>
  <c r="AA22" i="2"/>
  <c r="Z22" i="2"/>
  <c r="AD21" i="2"/>
  <c r="AC21" i="2"/>
  <c r="AB21" i="2"/>
  <c r="AA21" i="2"/>
  <c r="Z21" i="2"/>
  <c r="AE101" i="2"/>
  <c r="AD7" i="2"/>
  <c r="AE13" i="2" s="1"/>
  <c r="AD6" i="2"/>
  <c r="AD12" i="2" s="1"/>
  <c r="AD5" i="2"/>
  <c r="AD11" i="2" s="1"/>
  <c r="AD4" i="2"/>
  <c r="AD10" i="2" s="1"/>
  <c r="AD3" i="2"/>
  <c r="AD9" i="2" s="1"/>
  <c r="AE19" i="2"/>
  <c r="AE25" i="2" s="1"/>
  <c r="AE18" i="2"/>
  <c r="AE24" i="2" s="1"/>
  <c r="AE17" i="2"/>
  <c r="AE23" i="2" s="1"/>
  <c r="AE16" i="2"/>
  <c r="AE22" i="2" s="1"/>
  <c r="AE15" i="2"/>
  <c r="AE21" i="2" s="1"/>
  <c r="AE43" i="2"/>
  <c r="AE40" i="2"/>
  <c r="AE38" i="2"/>
  <c r="AE35" i="2"/>
  <c r="AE34" i="2"/>
  <c r="AE32" i="2"/>
  <c r="AE28" i="2"/>
  <c r="AE27" i="2"/>
  <c r="AD29" i="2"/>
  <c r="O25" i="2"/>
  <c r="O24" i="2"/>
  <c r="O23" i="2"/>
  <c r="O22" i="2"/>
  <c r="O21" i="2"/>
  <c r="O10" i="2"/>
  <c r="O9" i="2"/>
  <c r="O13" i="2"/>
  <c r="O12" i="2"/>
  <c r="O11" i="2"/>
  <c r="P97" i="2" l="1"/>
  <c r="P90" i="2"/>
  <c r="P85" i="2"/>
  <c r="P102" i="2" s="1"/>
  <c r="P84" i="2"/>
  <c r="AD13" i="2"/>
  <c r="AE103" i="2"/>
  <c r="X37" i="2"/>
  <c r="X46" i="2" s="1"/>
  <c r="AE104" i="2"/>
  <c r="U37" i="2"/>
  <c r="V37" i="2"/>
  <c r="W37" i="2"/>
  <c r="W46" i="2" s="1"/>
  <c r="W45" i="2"/>
  <c r="W39" i="2"/>
  <c r="AE9" i="2"/>
  <c r="AE12" i="2"/>
  <c r="AE10" i="2"/>
  <c r="AE36" i="2"/>
  <c r="AE11" i="2"/>
  <c r="AE29" i="2"/>
  <c r="P99" i="2" l="1"/>
  <c r="P45" i="2"/>
  <c r="P37" i="2"/>
  <c r="X39" i="2"/>
  <c r="X48" i="2" s="1"/>
  <c r="U46" i="2"/>
  <c r="U39" i="2"/>
  <c r="V46" i="2"/>
  <c r="V39" i="2"/>
  <c r="W48" i="2"/>
  <c r="W41" i="2"/>
  <c r="AE50" i="2"/>
  <c r="AE33" i="2"/>
  <c r="P46" i="2" l="1"/>
  <c r="P39" i="2"/>
  <c r="X41" i="2"/>
  <c r="U48" i="2"/>
  <c r="U41" i="2"/>
  <c r="V48" i="2"/>
  <c r="V41" i="2"/>
  <c r="W47" i="2"/>
  <c r="W42" i="2"/>
  <c r="AE45" i="2"/>
  <c r="AE37" i="2"/>
  <c r="P48" i="2" l="1"/>
  <c r="P41" i="2"/>
  <c r="X47" i="2"/>
  <c r="X42" i="2"/>
  <c r="U47" i="2"/>
  <c r="U42" i="2"/>
  <c r="V47" i="2"/>
  <c r="V42" i="2"/>
  <c r="AE39" i="2"/>
  <c r="AE46" i="2"/>
  <c r="P47" i="2" l="1"/>
  <c r="P42" i="2"/>
  <c r="AE41" i="2"/>
  <c r="AE48" i="2"/>
  <c r="AE47" i="2" l="1"/>
  <c r="AE42" i="2"/>
  <c r="O95" i="2" l="1"/>
  <c r="O97" i="2" s="1"/>
  <c r="O87" i="2"/>
  <c r="O90" i="2" s="1"/>
  <c r="O85" i="2" l="1"/>
  <c r="O84" i="2"/>
  <c r="O64" i="2"/>
  <c r="O53" i="2"/>
  <c r="O60" i="2" l="1"/>
  <c r="O101" i="2"/>
  <c r="O99" i="2"/>
  <c r="O52" i="2"/>
  <c r="AE52" i="2" s="1"/>
  <c r="O66" i="2"/>
  <c r="O68" i="2" s="1"/>
  <c r="O36" i="2"/>
  <c r="O32" i="2"/>
  <c r="O29" i="2"/>
  <c r="N64" i="2"/>
  <c r="N66" i="2" s="1"/>
  <c r="N68" i="2" s="1"/>
  <c r="N53" i="2"/>
  <c r="N60" i="2" s="1"/>
  <c r="M64" i="2"/>
  <c r="M66" i="2" s="1"/>
  <c r="M68" i="2" s="1"/>
  <c r="M53" i="2"/>
  <c r="M60" i="2" s="1"/>
  <c r="N36" i="2"/>
  <c r="N32" i="2"/>
  <c r="N29" i="2"/>
  <c r="J32" i="2"/>
  <c r="I32" i="2"/>
  <c r="H32" i="2"/>
  <c r="L32" i="2"/>
  <c r="G32" i="2"/>
  <c r="K32" i="2"/>
  <c r="M32" i="2"/>
  <c r="G25" i="2"/>
  <c r="G24" i="2"/>
  <c r="G23" i="2"/>
  <c r="G22" i="2"/>
  <c r="G21" i="2"/>
  <c r="G13" i="2"/>
  <c r="G12" i="2"/>
  <c r="G11" i="2"/>
  <c r="G10" i="2"/>
  <c r="G9" i="2"/>
  <c r="K25" i="2"/>
  <c r="K24" i="2"/>
  <c r="K23" i="2"/>
  <c r="K22" i="2"/>
  <c r="K21" i="2"/>
  <c r="K13" i="2"/>
  <c r="K12" i="2"/>
  <c r="K11" i="2"/>
  <c r="K10" i="2"/>
  <c r="K9" i="2"/>
  <c r="D4" i="1"/>
  <c r="F14" i="1"/>
  <c r="I25" i="2"/>
  <c r="I24" i="2"/>
  <c r="I23" i="2"/>
  <c r="I22" i="2"/>
  <c r="I21" i="2"/>
  <c r="I13" i="2"/>
  <c r="I12" i="2"/>
  <c r="I11" i="2"/>
  <c r="I10" i="2"/>
  <c r="I9" i="2"/>
  <c r="M13" i="2"/>
  <c r="M12" i="2"/>
  <c r="M11" i="2"/>
  <c r="M10" i="2"/>
  <c r="M9" i="2"/>
  <c r="M25" i="2"/>
  <c r="M24" i="2"/>
  <c r="M23" i="2"/>
  <c r="M22" i="2"/>
  <c r="M21" i="2"/>
  <c r="N21" i="2"/>
  <c r="J25" i="2"/>
  <c r="J24" i="2"/>
  <c r="J23" i="2"/>
  <c r="J22" i="2"/>
  <c r="J21" i="2"/>
  <c r="N9" i="2"/>
  <c r="N25" i="2"/>
  <c r="N24" i="2"/>
  <c r="N23" i="2"/>
  <c r="N22" i="2"/>
  <c r="J13" i="2"/>
  <c r="J12" i="2"/>
  <c r="J11" i="2"/>
  <c r="J10" i="2"/>
  <c r="J9" i="2"/>
  <c r="N13" i="2"/>
  <c r="N12" i="2"/>
  <c r="N11" i="2"/>
  <c r="N10" i="2"/>
  <c r="F10" i="1" l="1"/>
  <c r="D10" i="1"/>
  <c r="N52" i="2"/>
  <c r="O33" i="2"/>
  <c r="M52" i="2"/>
  <c r="N33" i="2"/>
  <c r="F5" i="1"/>
  <c r="F6" i="1"/>
  <c r="F7" i="1"/>
  <c r="F8" i="1"/>
  <c r="F11" i="1"/>
  <c r="F12" i="1"/>
  <c r="F13" i="1"/>
  <c r="O45" i="2" l="1"/>
  <c r="O37" i="2"/>
  <c r="N45" i="2"/>
  <c r="N37" i="2"/>
  <c r="O46" i="2" l="1"/>
  <c r="O39" i="2"/>
  <c r="N46" i="2"/>
  <c r="N39" i="2"/>
  <c r="O48" i="2" l="1"/>
  <c r="O41" i="2"/>
  <c r="O73" i="2" s="1"/>
  <c r="N48" i="2"/>
  <c r="N41" i="2"/>
  <c r="N73" i="2" s="1"/>
  <c r="M36" i="2"/>
  <c r="M29" i="2"/>
  <c r="M33" i="2" s="1"/>
  <c r="L96" i="2"/>
  <c r="L95" i="2"/>
  <c r="L94" i="2"/>
  <c r="L93" i="2"/>
  <c r="L92" i="2"/>
  <c r="L89" i="2"/>
  <c r="L88" i="2"/>
  <c r="L83" i="2"/>
  <c r="H83" i="2"/>
  <c r="I83" i="2" s="1"/>
  <c r="J83" i="2" s="1"/>
  <c r="H82" i="2"/>
  <c r="I82" i="2" s="1"/>
  <c r="J82" i="2" s="1"/>
  <c r="H81" i="2"/>
  <c r="I81" i="2" s="1"/>
  <c r="H80" i="2"/>
  <c r="I80" i="2" s="1"/>
  <c r="H79" i="2"/>
  <c r="I79" i="2" s="1"/>
  <c r="H78" i="2"/>
  <c r="I78" i="2" s="1"/>
  <c r="L82" i="2"/>
  <c r="L81" i="2"/>
  <c r="L80" i="2"/>
  <c r="L79" i="2"/>
  <c r="L78" i="2"/>
  <c r="G85" i="2"/>
  <c r="G101" i="2" s="1"/>
  <c r="G84" i="2"/>
  <c r="K85" i="2"/>
  <c r="K101" i="2" s="1"/>
  <c r="K84" i="2"/>
  <c r="L77" i="2"/>
  <c r="L76" i="2"/>
  <c r="L75" i="2"/>
  <c r="L74" i="2"/>
  <c r="L64" i="2"/>
  <c r="L66" i="2" s="1"/>
  <c r="L68" i="2" s="1"/>
  <c r="G66" i="2"/>
  <c r="K62" i="2"/>
  <c r="J62" i="2"/>
  <c r="I62" i="2"/>
  <c r="H62" i="2"/>
  <c r="F62" i="2"/>
  <c r="G60" i="2"/>
  <c r="K57" i="2"/>
  <c r="J57" i="2"/>
  <c r="I57" i="2"/>
  <c r="H57" i="2"/>
  <c r="F57" i="2"/>
  <c r="L53" i="2"/>
  <c r="D7" i="1"/>
  <c r="D5" i="1"/>
  <c r="H13" i="2"/>
  <c r="H12" i="2"/>
  <c r="H11" i="2"/>
  <c r="H10" i="2"/>
  <c r="H9" i="2"/>
  <c r="L13" i="2"/>
  <c r="L12" i="2"/>
  <c r="L11" i="2"/>
  <c r="L10" i="2"/>
  <c r="L9" i="2"/>
  <c r="H25" i="2"/>
  <c r="H24" i="2"/>
  <c r="H23" i="2"/>
  <c r="H22" i="2"/>
  <c r="H21" i="2"/>
  <c r="L25" i="2"/>
  <c r="L24" i="2"/>
  <c r="L23" i="2"/>
  <c r="L22" i="2"/>
  <c r="L21" i="2"/>
  <c r="D14" i="1"/>
  <c r="L36" i="2"/>
  <c r="L29" i="2"/>
  <c r="Y36" i="2"/>
  <c r="Y29" i="2"/>
  <c r="Z36" i="2"/>
  <c r="Z29" i="2"/>
  <c r="Z33" i="2" s="1"/>
  <c r="AA36" i="2"/>
  <c r="AA29" i="2"/>
  <c r="AA33" i="2" s="1"/>
  <c r="AB36" i="2"/>
  <c r="AB29" i="2"/>
  <c r="AB33" i="2" s="1"/>
  <c r="AC36" i="2"/>
  <c r="AC29" i="2"/>
  <c r="AC33" i="2" s="1"/>
  <c r="AD36" i="2"/>
  <c r="AB2" i="2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H96" i="2"/>
  <c r="I96" i="2" s="1"/>
  <c r="H94" i="2"/>
  <c r="I94" i="2" s="1"/>
  <c r="J94" i="2" s="1"/>
  <c r="H93" i="2"/>
  <c r="I93" i="2" s="1"/>
  <c r="H92" i="2"/>
  <c r="I92" i="2" s="1"/>
  <c r="H89" i="2"/>
  <c r="H88" i="2"/>
  <c r="H77" i="2"/>
  <c r="I77" i="2" s="1"/>
  <c r="H76" i="2"/>
  <c r="I76" i="2" s="1"/>
  <c r="H75" i="2"/>
  <c r="I75" i="2" s="1"/>
  <c r="J75" i="2" s="1"/>
  <c r="H74" i="2"/>
  <c r="I74" i="2" s="1"/>
  <c r="G95" i="2"/>
  <c r="G97" i="2" s="1"/>
  <c r="G87" i="2"/>
  <c r="G90" i="2" s="1"/>
  <c r="K97" i="2"/>
  <c r="K87" i="2"/>
  <c r="H64" i="2"/>
  <c r="H53" i="2"/>
  <c r="I64" i="2"/>
  <c r="I53" i="2"/>
  <c r="F64" i="2"/>
  <c r="F53" i="2"/>
  <c r="J64" i="2"/>
  <c r="J53" i="2"/>
  <c r="K64" i="2"/>
  <c r="K53" i="2"/>
  <c r="D36" i="2"/>
  <c r="D29" i="2"/>
  <c r="D33" i="2" s="1"/>
  <c r="H36" i="2"/>
  <c r="H29" i="2"/>
  <c r="E36" i="2"/>
  <c r="E29" i="2"/>
  <c r="E33" i="2" s="1"/>
  <c r="I36" i="2"/>
  <c r="I29" i="2"/>
  <c r="F36" i="2"/>
  <c r="F29" i="2"/>
  <c r="F33" i="2" s="1"/>
  <c r="J36" i="2"/>
  <c r="J29" i="2"/>
  <c r="G36" i="2"/>
  <c r="G29" i="2"/>
  <c r="G33" i="2" s="1"/>
  <c r="G45" i="2" s="1"/>
  <c r="K36" i="2"/>
  <c r="K29" i="2"/>
  <c r="I5" i="1"/>
  <c r="L33" i="2" l="1"/>
  <c r="P50" i="2"/>
  <c r="Y33" i="2"/>
  <c r="Y37" i="2" s="1"/>
  <c r="Y50" i="2"/>
  <c r="K90" i="2"/>
  <c r="M78" i="2"/>
  <c r="N78" i="2" s="1"/>
  <c r="M88" i="2"/>
  <c r="N88" i="2" s="1"/>
  <c r="K33" i="2"/>
  <c r="K37" i="2" s="1"/>
  <c r="O50" i="2"/>
  <c r="M83" i="2"/>
  <c r="N83" i="2" s="1"/>
  <c r="M79" i="2"/>
  <c r="N79" i="2" s="1"/>
  <c r="M89" i="2"/>
  <c r="N89" i="2" s="1"/>
  <c r="J33" i="2"/>
  <c r="J37" i="2" s="1"/>
  <c r="N50" i="2"/>
  <c r="M80" i="2"/>
  <c r="N80" i="2" s="1"/>
  <c r="M92" i="2"/>
  <c r="N92" i="2"/>
  <c r="M93" i="2"/>
  <c r="N93" i="2" s="1"/>
  <c r="M82" i="2"/>
  <c r="N82" i="2" s="1"/>
  <c r="M75" i="2"/>
  <c r="N75" i="2" s="1"/>
  <c r="M95" i="2"/>
  <c r="N95" i="2" s="1"/>
  <c r="F60" i="2"/>
  <c r="M76" i="2"/>
  <c r="N76" i="2" s="1"/>
  <c r="M96" i="2"/>
  <c r="N96" i="2" s="1"/>
  <c r="M77" i="2"/>
  <c r="N77" i="2" s="1"/>
  <c r="M81" i="2"/>
  <c r="N81" i="2" s="1"/>
  <c r="M74" i="2"/>
  <c r="N74" i="2" s="1"/>
  <c r="M94" i="2"/>
  <c r="N94" i="2" s="1"/>
  <c r="O47" i="2"/>
  <c r="O42" i="2"/>
  <c r="N47" i="2"/>
  <c r="N42" i="2"/>
  <c r="I60" i="2"/>
  <c r="L85" i="2"/>
  <c r="L101" i="2" s="1"/>
  <c r="L97" i="2"/>
  <c r="J81" i="2"/>
  <c r="H60" i="2"/>
  <c r="I85" i="2"/>
  <c r="L84" i="2"/>
  <c r="I84" i="2"/>
  <c r="J78" i="2"/>
  <c r="J79" i="2"/>
  <c r="L87" i="2"/>
  <c r="L90" i="2" s="1"/>
  <c r="H84" i="2"/>
  <c r="J80" i="2"/>
  <c r="H85" i="2"/>
  <c r="H101" i="2" s="1"/>
  <c r="M50" i="2"/>
  <c r="L52" i="2"/>
  <c r="K66" i="2"/>
  <c r="I66" i="2"/>
  <c r="H66" i="2"/>
  <c r="L60" i="2"/>
  <c r="J66" i="2"/>
  <c r="F66" i="2"/>
  <c r="J74" i="2"/>
  <c r="K60" i="2"/>
  <c r="J60" i="2"/>
  <c r="I8" i="1"/>
  <c r="D11" i="1"/>
  <c r="D12" i="1"/>
  <c r="D13" i="1"/>
  <c r="L50" i="2"/>
  <c r="L45" i="2"/>
  <c r="AD50" i="2"/>
  <c r="Z50" i="2"/>
  <c r="AA50" i="2"/>
  <c r="AB50" i="2"/>
  <c r="AC50" i="2"/>
  <c r="Z45" i="2"/>
  <c r="Z37" i="2"/>
  <c r="AA45" i="2"/>
  <c r="AA37" i="2"/>
  <c r="AB45" i="2"/>
  <c r="AB37" i="2"/>
  <c r="AC45" i="2"/>
  <c r="AC37" i="2"/>
  <c r="AD33" i="2"/>
  <c r="J52" i="2"/>
  <c r="K52" i="2"/>
  <c r="I88" i="2"/>
  <c r="J88" i="2" s="1"/>
  <c r="J92" i="2"/>
  <c r="H95" i="2"/>
  <c r="J93" i="2"/>
  <c r="I89" i="2"/>
  <c r="J89" i="2" s="1"/>
  <c r="F52" i="2"/>
  <c r="J76" i="2"/>
  <c r="J96" i="2"/>
  <c r="J77" i="2"/>
  <c r="H87" i="2"/>
  <c r="I87" i="2" s="1"/>
  <c r="K99" i="2"/>
  <c r="G99" i="2"/>
  <c r="H52" i="2"/>
  <c r="I52" i="2"/>
  <c r="K50" i="2"/>
  <c r="K45" i="2"/>
  <c r="J50" i="2"/>
  <c r="H50" i="2"/>
  <c r="D45" i="2"/>
  <c r="D37" i="2"/>
  <c r="H33" i="2"/>
  <c r="E37" i="2"/>
  <c r="E45" i="2"/>
  <c r="I50" i="2"/>
  <c r="I33" i="2"/>
  <c r="F45" i="2"/>
  <c r="F37" i="2"/>
  <c r="G37" i="2"/>
  <c r="Y45" i="2" l="1"/>
  <c r="J45" i="2"/>
  <c r="N97" i="2"/>
  <c r="M97" i="2"/>
  <c r="N84" i="2"/>
  <c r="M84" i="2"/>
  <c r="M85" i="2"/>
  <c r="M87" i="2"/>
  <c r="M90" i="2" s="1"/>
  <c r="N85" i="2"/>
  <c r="L99" i="2"/>
  <c r="J85" i="2"/>
  <c r="J101" i="2" s="1"/>
  <c r="J84" i="2"/>
  <c r="I101" i="2"/>
  <c r="M45" i="2"/>
  <c r="M37" i="2"/>
  <c r="L37" i="2"/>
  <c r="Y46" i="2"/>
  <c r="Y39" i="2"/>
  <c r="Z39" i="2"/>
  <c r="Z46" i="2"/>
  <c r="AA46" i="2"/>
  <c r="AA39" i="2"/>
  <c r="AB46" i="2"/>
  <c r="AB39" i="2"/>
  <c r="AC46" i="2"/>
  <c r="AC39" i="2"/>
  <c r="AD37" i="2"/>
  <c r="AD45" i="2"/>
  <c r="F67" i="2"/>
  <c r="F68" i="2" s="1"/>
  <c r="I67" i="2"/>
  <c r="I68" i="2" s="1"/>
  <c r="I90" i="2"/>
  <c r="K67" i="2"/>
  <c r="K68" i="2" s="1"/>
  <c r="I95" i="2"/>
  <c r="I97" i="2" s="1"/>
  <c r="H97" i="2"/>
  <c r="J87" i="2"/>
  <c r="J90" i="2" s="1"/>
  <c r="H90" i="2"/>
  <c r="H67" i="2"/>
  <c r="H68" i="2" s="1"/>
  <c r="J67" i="2"/>
  <c r="J68" i="2" s="1"/>
  <c r="K46" i="2"/>
  <c r="K39" i="2"/>
  <c r="D39" i="2"/>
  <c r="D46" i="2"/>
  <c r="H37" i="2"/>
  <c r="H45" i="2"/>
  <c r="E39" i="2"/>
  <c r="E46" i="2"/>
  <c r="I45" i="2"/>
  <c r="I37" i="2"/>
  <c r="F46" i="2"/>
  <c r="F39" i="2"/>
  <c r="J39" i="2"/>
  <c r="J46" i="2"/>
  <c r="G39" i="2"/>
  <c r="G46" i="2"/>
  <c r="N101" i="2" l="1"/>
  <c r="M101" i="2"/>
  <c r="M99" i="2"/>
  <c r="N87" i="2"/>
  <c r="N90" i="2" s="1"/>
  <c r="N99" i="2" s="1"/>
  <c r="J102" i="2"/>
  <c r="K102" i="2"/>
  <c r="L102" i="2"/>
  <c r="M46" i="2"/>
  <c r="M39" i="2"/>
  <c r="L46" i="2"/>
  <c r="L39" i="2"/>
  <c r="Y48" i="2"/>
  <c r="Y41" i="2"/>
  <c r="Z48" i="2"/>
  <c r="Z41" i="2"/>
  <c r="AA48" i="2"/>
  <c r="AA41" i="2"/>
  <c r="AB48" i="2"/>
  <c r="AB41" i="2"/>
  <c r="AC48" i="2"/>
  <c r="AC41" i="2"/>
  <c r="AD46" i="2"/>
  <c r="AD39" i="2"/>
  <c r="H99" i="2"/>
  <c r="J95" i="2"/>
  <c r="J97" i="2" s="1"/>
  <c r="I99" i="2"/>
  <c r="K48" i="2"/>
  <c r="K41" i="2"/>
  <c r="D41" i="2"/>
  <c r="D48" i="2"/>
  <c r="H39" i="2"/>
  <c r="H46" i="2"/>
  <c r="E48" i="2"/>
  <c r="E41" i="2"/>
  <c r="I46" i="2"/>
  <c r="I39" i="2"/>
  <c r="F48" i="2"/>
  <c r="F41" i="2"/>
  <c r="J48" i="2"/>
  <c r="J41" i="2"/>
  <c r="G48" i="2"/>
  <c r="G41" i="2"/>
  <c r="M102" i="2" l="1"/>
  <c r="O102" i="2"/>
  <c r="J73" i="2"/>
  <c r="K73" i="2"/>
  <c r="N102" i="2"/>
  <c r="M48" i="2"/>
  <c r="M41" i="2"/>
  <c r="M73" i="2" s="1"/>
  <c r="L48" i="2"/>
  <c r="L41" i="2"/>
  <c r="G73" i="2"/>
  <c r="G70" i="2"/>
  <c r="Y47" i="2"/>
  <c r="Y42" i="2"/>
  <c r="Z47" i="2"/>
  <c r="Z42" i="2"/>
  <c r="AA47" i="2"/>
  <c r="AA42" i="2"/>
  <c r="AB47" i="2"/>
  <c r="AB42" i="2"/>
  <c r="AC47" i="2"/>
  <c r="AC42" i="2"/>
  <c r="AD48" i="2"/>
  <c r="AD41" i="2"/>
  <c r="J99" i="2"/>
  <c r="K42" i="2"/>
  <c r="K47" i="2"/>
  <c r="D47" i="2"/>
  <c r="D42" i="2"/>
  <c r="H48" i="2"/>
  <c r="H41" i="2"/>
  <c r="H70" i="2" s="1"/>
  <c r="H71" i="2" s="1"/>
  <c r="E47" i="2"/>
  <c r="E42" i="2"/>
  <c r="I41" i="2"/>
  <c r="I48" i="2"/>
  <c r="F47" i="2"/>
  <c r="F42" i="2"/>
  <c r="J47" i="2"/>
  <c r="J42" i="2"/>
  <c r="G47" i="2"/>
  <c r="G42" i="2"/>
  <c r="L73" i="2" l="1"/>
  <c r="O70" i="2"/>
  <c r="N70" i="2"/>
  <c r="N71" i="2" s="1"/>
  <c r="M70" i="2"/>
  <c r="M71" i="2" s="1"/>
  <c r="M47" i="2"/>
  <c r="M42" i="2"/>
  <c r="I73" i="2"/>
  <c r="L70" i="2"/>
  <c r="L71" i="2" s="1"/>
  <c r="I70" i="2"/>
  <c r="I71" i="2" s="1"/>
  <c r="L47" i="2"/>
  <c r="L42" i="2"/>
  <c r="H73" i="2"/>
  <c r="K70" i="2"/>
  <c r="K71" i="2" s="1"/>
  <c r="J70" i="2"/>
  <c r="J71" i="2" s="1"/>
  <c r="AD47" i="2"/>
  <c r="AD42" i="2"/>
  <c r="H47" i="2"/>
  <c r="H42" i="2"/>
  <c r="I47" i="2"/>
  <c r="I42" i="2"/>
  <c r="O71" i="2" l="1"/>
  <c r="I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Fidel</author>
  </authors>
  <commentList>
    <comment ref="B92" authorId="0" shapeId="0" xr:uid="{08749D80-1C89-4950-8ABB-05E6B994879C}">
      <text>
        <r>
          <rPr>
            <b/>
            <sz val="9"/>
            <color indexed="81"/>
            <rFont val="Tahoma"/>
            <charset val="1"/>
          </rPr>
          <t>Fidel:</t>
        </r>
        <r>
          <rPr>
            <sz val="9"/>
            <color indexed="81"/>
            <rFont val="Tahoma"/>
            <charset val="1"/>
          </rPr>
          <t xml:space="preserve">
Payments for taxes related to net share settlement of equity awards</t>
        </r>
      </text>
    </comment>
  </commentList>
</comments>
</file>

<file path=xl/sharedStrings.xml><?xml version="1.0" encoding="utf-8"?>
<sst xmlns="http://schemas.openxmlformats.org/spreadsheetml/2006/main" count="144" uniqueCount="112">
  <si>
    <t>(AAPL)</t>
  </si>
  <si>
    <t>(in millions)</t>
  </si>
  <si>
    <t>Price</t>
  </si>
  <si>
    <t>Shares</t>
  </si>
  <si>
    <t>MC</t>
  </si>
  <si>
    <t>Cash</t>
  </si>
  <si>
    <t>Debt</t>
  </si>
  <si>
    <t>EV</t>
  </si>
  <si>
    <t>Products</t>
  </si>
  <si>
    <t>Services</t>
  </si>
  <si>
    <t>Revenue</t>
  </si>
  <si>
    <t>COGS</t>
  </si>
  <si>
    <t>Gross profit</t>
  </si>
  <si>
    <t>R&amp;D</t>
  </si>
  <si>
    <t>SG&amp;A</t>
  </si>
  <si>
    <t>Operating expense</t>
  </si>
  <si>
    <t>Operating income</t>
  </si>
  <si>
    <t>Interest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</si>
  <si>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</si>
  <si>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</si>
  <si>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</si>
  <si>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</si>
  <si>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</si>
  <si>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</si>
  <si>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</si>
  <si>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</si>
  <si>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Net cash</t>
  </si>
  <si>
    <t>A/R</t>
  </si>
  <si>
    <t>Vendor</t>
  </si>
  <si>
    <t>Inventories</t>
  </si>
  <si>
    <t>Securities</t>
  </si>
  <si>
    <t>PP&amp;E</t>
  </si>
  <si>
    <t>Total assets</t>
  </si>
  <si>
    <t>A/P</t>
  </si>
  <si>
    <t>D/R</t>
  </si>
  <si>
    <t>Total liabilities</t>
  </si>
  <si>
    <t>S/E</t>
  </si>
  <si>
    <t>L+S/E</t>
  </si>
  <si>
    <t>Apple</t>
  </si>
  <si>
    <t>Model NI</t>
  </si>
  <si>
    <t>Reported NI</t>
  </si>
  <si>
    <t>D&amp;A</t>
  </si>
  <si>
    <t>SBC</t>
  </si>
  <si>
    <t>Other</t>
  </si>
  <si>
    <t>Working capital</t>
  </si>
  <si>
    <t>CFFO</t>
  </si>
  <si>
    <t>CapEx</t>
  </si>
  <si>
    <t>CFFI</t>
  </si>
  <si>
    <t>Dividends</t>
  </si>
  <si>
    <t>Buybacks</t>
  </si>
  <si>
    <t>CFFF</t>
  </si>
  <si>
    <t>CIC</t>
  </si>
  <si>
    <t>Mac</t>
  </si>
  <si>
    <t>iPad</t>
  </si>
  <si>
    <t>iPhone</t>
  </si>
  <si>
    <t>Wearables, Home and Accesories</t>
  </si>
  <si>
    <t>Smartwatches</t>
  </si>
  <si>
    <t>Wireless headphones</t>
  </si>
  <si>
    <t>Apple TV</t>
  </si>
  <si>
    <t>Advertising</t>
  </si>
  <si>
    <t>Applecare</t>
  </si>
  <si>
    <t>Digital content</t>
  </si>
  <si>
    <t>Cloud services</t>
  </si>
  <si>
    <t>Payment services</t>
  </si>
  <si>
    <t>161,000 full-time equivalent employees</t>
  </si>
  <si>
    <t>Americas</t>
  </si>
  <si>
    <t>Europe</t>
  </si>
  <si>
    <t>Greater China</t>
  </si>
  <si>
    <t>Japan</t>
  </si>
  <si>
    <t>Rest of Asia Pacific</t>
  </si>
  <si>
    <t>Cash flow TTM</t>
  </si>
  <si>
    <t>Ipad</t>
  </si>
  <si>
    <t>Wearables, Home and Accessories</t>
  </si>
  <si>
    <t>%Rev</t>
  </si>
  <si>
    <t>Americas y/y</t>
  </si>
  <si>
    <t>Europe y/y</t>
  </si>
  <si>
    <t>Greater China y/y</t>
  </si>
  <si>
    <t xml:space="preserve">Japan y/y </t>
  </si>
  <si>
    <t>Rest of Asia Pacific y/y</t>
  </si>
  <si>
    <t>iPhone y/y</t>
  </si>
  <si>
    <t>Mac y/y</t>
  </si>
  <si>
    <t>iPad y/y</t>
  </si>
  <si>
    <t>Wearables, Home and Accessories y/y</t>
  </si>
  <si>
    <t>OCA</t>
  </si>
  <si>
    <t>ONCA</t>
  </si>
  <si>
    <t>OCL</t>
  </si>
  <si>
    <t>ONCL</t>
  </si>
  <si>
    <t>Vendor non-trade recievables</t>
  </si>
  <si>
    <t>Other assets</t>
  </si>
  <si>
    <t>Other liabilties</t>
  </si>
  <si>
    <t>FCF</t>
  </si>
  <si>
    <t>FCF TTM</t>
  </si>
  <si>
    <t>COGS Products</t>
  </si>
  <si>
    <t>COGS services</t>
  </si>
  <si>
    <t>FQ124</t>
  </si>
  <si>
    <t>Tangible bookvalue</t>
  </si>
  <si>
    <t>Net share settlement</t>
  </si>
  <si>
    <t>Pretax</t>
  </si>
  <si>
    <t>FQ125</t>
  </si>
  <si>
    <t>FQ424</t>
  </si>
  <si>
    <t>FQ324</t>
  </si>
  <si>
    <t>FQ224</t>
  </si>
  <si>
    <t>FQ423</t>
  </si>
  <si>
    <t>FQ323</t>
  </si>
  <si>
    <t>FQ223</t>
  </si>
  <si>
    <t>FQ123</t>
  </si>
  <si>
    <t>FQ422</t>
  </si>
  <si>
    <t>FQ322</t>
  </si>
  <si>
    <t>FQ222</t>
  </si>
  <si>
    <t>FQ122</t>
  </si>
  <si>
    <t>Main</t>
  </si>
  <si>
    <t>FQ225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</si>
</sst>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x"/>
    <numFmt numFmtId="168" formatCode="d/mm/yy;@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  <font>
      <sz val="10"/>
      <color rgb="FF000000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4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164" fontId="0" fillId="0" borderId="0" xfId="0" applyNumberFormat="1"/>
    <xf numFmtId="0" fontId="3" fillId="0" borderId="0" xfId="0" applyFont="1"/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4" fillId="0" borderId="0" xfId="0" applyFont="1"/>
    <xf numFmtId="168" fontId="0" fillId="0" borderId="0" xfId="0" applyNumberFormat="1"/>
    <xf numFmtId="168" fontId="7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0</xdr:row>
      <xdr:rowOff>0</xdr:rowOff>
    </xdr:from>
    <xdr:to>
      <xdr:col>16</xdr:col>
      <xdr:colOff>28575</xdr:colOff>
      <xdr:row>104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7CFE214-3005-A0B3-2A0B-4AA497CAAE6E}"/>
            </a:ext>
          </a:extLst>
        </xdr:cNvPr>
        <xdr:cNvCxnSpPr/>
      </xdr:nvCxnSpPr>
      <xdr:spPr>
        <a:xfrm>
          <a:off x="12011025" y="9525"/>
          <a:ext cx="0" cy="180022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</xdr:colOff>
      <xdr:row>0</xdr:row>
      <xdr:rowOff>0</xdr:rowOff>
    </xdr:from>
    <xdr:to>
      <xdr:col>31</xdr:col>
      <xdr:colOff>28575</xdr:colOff>
      <xdr:row>104</xdr:row>
      <xdr:rowOff>95250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A44BBC0-09E2-4991-9801-A74DDBF041C4}"/>
            </a:ext>
          </a:extLst>
        </xdr:cNvPr>
        <xdr:cNvCxnSpPr/>
      </xdr:nvCxnSpPr>
      <xdr:spPr>
        <a:xfrm>
          <a:off x="19602450" y="19050"/>
          <a:ext cx="0" cy="180022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904E-10D3-47DD-8E58-EFBC6490BB09}">
  <dimension ref="A1:J31"/>
  <sheetViews>
    <sheetView tabSelected="1" workbookViewId="0">
      <selection activeCell="E27" sqref="E27"/>
    </sheetView>
  </sheetViews>
  <sheetFormatPr defaultRowHeight="12.75" x14ac:dyDescent="0.2"/>
  <cols>
    <col min="1" max="1" width="19.7109375" bestFit="1" customWidth="1"/>
    <col min="2" max="2" width="31" bestFit="1" customWidth="1"/>
  </cols>
  <sheetData>
    <row r="1" spans="1:10" ht="34.5" x14ac:dyDescent="0.45">
      <c r="A1" s="1" t="s">
        <v>38</v>
      </c>
    </row>
    <row r="2" spans="1:10" x14ac:dyDescent="0.2">
      <c r="A2" t="s">
        <v>0</v>
      </c>
      <c r="C2" s="3">
        <v>2023</v>
      </c>
      <c r="D2" s="3"/>
      <c r="E2" s="3">
        <v>2024</v>
      </c>
    </row>
    <row r="3" spans="1:10" x14ac:dyDescent="0.2">
      <c r="A3" t="s">
        <v>1</v>
      </c>
      <c r="C3" s="3" t="s">
        <v>10</v>
      </c>
      <c r="D3" s="3" t="s">
        <v>73</v>
      </c>
      <c r="E3" s="3" t="s">
        <v>10</v>
      </c>
      <c r="F3" s="3" t="s">
        <v>73</v>
      </c>
      <c r="H3" t="s">
        <v>2</v>
      </c>
      <c r="I3" s="6">
        <v>205.35</v>
      </c>
    </row>
    <row r="4" spans="1:10" x14ac:dyDescent="0.2">
      <c r="B4" t="s">
        <v>54</v>
      </c>
      <c r="C4" s="11">
        <v>200583</v>
      </c>
      <c r="D4" s="7">
        <f>+C4/$C$15</f>
        <v>0.52332598458066448</v>
      </c>
      <c r="E4" s="11">
        <v>201183</v>
      </c>
      <c r="F4" s="7">
        <f>+E4/$E$15</f>
        <v>0.51462007750649086</v>
      </c>
      <c r="H4" t="s">
        <v>3</v>
      </c>
      <c r="I4" s="2">
        <f>+Model!P43</f>
        <v>15056.133</v>
      </c>
      <c r="J4" s="3" t="s">
        <v>111</v>
      </c>
    </row>
    <row r="5" spans="1:10" x14ac:dyDescent="0.2">
      <c r="B5" t="s">
        <v>52</v>
      </c>
      <c r="C5" s="11">
        <v>29357</v>
      </c>
      <c r="D5" s="7">
        <f>+C5/$C$15</f>
        <v>7.659313565623492E-2</v>
      </c>
      <c r="E5" s="11">
        <v>29984</v>
      </c>
      <c r="F5" s="7">
        <f>+E5/$E$15</f>
        <v>7.669817233043856E-2</v>
      </c>
      <c r="H5" t="s">
        <v>4</v>
      </c>
      <c r="I5" s="2">
        <f>+I4*I3</f>
        <v>3091776.9115499998</v>
      </c>
      <c r="J5" s="3"/>
    </row>
    <row r="6" spans="1:10" x14ac:dyDescent="0.2">
      <c r="B6" t="s">
        <v>71</v>
      </c>
      <c r="C6" s="11">
        <v>28300</v>
      </c>
      <c r="D6" s="7">
        <f>+C6/$C$15</f>
        <v>7.3835396636967268E-2</v>
      </c>
      <c r="E6" s="11">
        <v>26694</v>
      </c>
      <c r="F6" s="7">
        <f>+E6/$E$15</f>
        <v>6.8282451046849227E-2</v>
      </c>
      <c r="H6" t="s">
        <v>5</v>
      </c>
      <c r="I6" s="2">
        <f>+Model!P53</f>
        <v>132922</v>
      </c>
      <c r="J6" s="3" t="s">
        <v>111</v>
      </c>
    </row>
    <row r="7" spans="1:10" x14ac:dyDescent="0.2">
      <c r="B7" s="2" t="s">
        <v>72</v>
      </c>
      <c r="C7" s="11">
        <v>39845</v>
      </c>
      <c r="D7" s="7">
        <f>+C7/$C$15</f>
        <v>0.1039565858303873</v>
      </c>
      <c r="E7" s="11">
        <v>37005</v>
      </c>
      <c r="F7" s="7">
        <f>+E7/$E$15</f>
        <v>9.4657679665417521E-2</v>
      </c>
      <c r="H7" t="s">
        <v>6</v>
      </c>
      <c r="I7" s="2">
        <f>+Model!P64</f>
        <v>98186</v>
      </c>
      <c r="J7" s="3" t="s">
        <v>111</v>
      </c>
    </row>
    <row r="8" spans="1:10" x14ac:dyDescent="0.2">
      <c r="B8" s="2" t="s">
        <v>9</v>
      </c>
      <c r="C8" s="11">
        <v>85200</v>
      </c>
      <c r="D8" s="7">
        <f>+C8/$C$15</f>
        <v>0.222288897295746</v>
      </c>
      <c r="E8" s="11">
        <v>96169</v>
      </c>
      <c r="F8" s="7">
        <f>+E8/$E$15</f>
        <v>0.24599741645030504</v>
      </c>
      <c r="H8" t="s">
        <v>7</v>
      </c>
      <c r="I8" s="2">
        <f>+I5-I6+I7</f>
        <v>3057040.9115499998</v>
      </c>
    </row>
    <row r="9" spans="1:10" x14ac:dyDescent="0.2">
      <c r="D9" s="7"/>
      <c r="F9" s="7"/>
      <c r="I9" s="2">
        <v>97294</v>
      </c>
    </row>
    <row r="10" spans="1:10" x14ac:dyDescent="0.2">
      <c r="B10" s="2" t="s">
        <v>65</v>
      </c>
      <c r="C10" s="11">
        <v>162560</v>
      </c>
      <c r="D10" s="7">
        <f>+C10/$C$15</f>
        <v>0.42412304160089748</v>
      </c>
      <c r="E10" s="11">
        <v>167045</v>
      </c>
      <c r="F10" s="7">
        <f>+E10/$E$15</f>
        <v>0.42729609781677264</v>
      </c>
      <c r="I10" s="9">
        <f>+I8/I9</f>
        <v>31.420651957469111</v>
      </c>
    </row>
    <row r="11" spans="1:10" x14ac:dyDescent="0.2">
      <c r="B11" s="2" t="s">
        <v>66</v>
      </c>
      <c r="C11" s="11">
        <v>94294</v>
      </c>
      <c r="D11" s="7">
        <f>+C11/$C$15</f>
        <v>0.24601536715498912</v>
      </c>
      <c r="E11" s="11">
        <v>101328</v>
      </c>
      <c r="F11" s="7">
        <f>+E11/$E$15</f>
        <v>0.25919398365457175</v>
      </c>
    </row>
    <row r="12" spans="1:10" x14ac:dyDescent="0.2">
      <c r="B12" s="2" t="s">
        <v>67</v>
      </c>
      <c r="C12" s="11">
        <v>72559</v>
      </c>
      <c r="D12" s="7">
        <f>+C12/$C$15</f>
        <v>0.18930821712302856</v>
      </c>
      <c r="E12" s="11">
        <v>66852</v>
      </c>
      <c r="F12" s="7">
        <f>+E12/$E$15</f>
        <v>0.17100541010653944</v>
      </c>
    </row>
    <row r="13" spans="1:10" x14ac:dyDescent="0.2">
      <c r="B13" s="2" t="s">
        <v>68</v>
      </c>
      <c r="C13" s="11">
        <v>24257</v>
      </c>
      <c r="D13" s="7">
        <f>+C13/$C$15</f>
        <v>6.3287110113883924E-2</v>
      </c>
      <c r="E13" s="11">
        <v>25052</v>
      </c>
      <c r="F13" s="7">
        <f>+E13/$E$15</f>
        <v>6.4082264315039578E-2</v>
      </c>
    </row>
    <row r="14" spans="1:10" x14ac:dyDescent="0.2">
      <c r="B14" s="2" t="s">
        <v>69</v>
      </c>
      <c r="C14" s="11">
        <v>29615</v>
      </c>
      <c r="D14" s="7">
        <f>+C14/$C$15</f>
        <v>7.7266264007200908E-2</v>
      </c>
      <c r="E14" s="11">
        <v>30658</v>
      </c>
      <c r="F14" s="7">
        <f>+E14/$E$15</f>
        <v>7.8422244107076627E-2</v>
      </c>
    </row>
    <row r="15" spans="1:10" x14ac:dyDescent="0.2">
      <c r="B15" s="4" t="s">
        <v>10</v>
      </c>
      <c r="C15" s="13">
        <f>+SUM(C4:C8)</f>
        <v>383285</v>
      </c>
      <c r="D15" s="3"/>
      <c r="E15" s="13">
        <f>+SUM(E10:E14)</f>
        <v>390935</v>
      </c>
    </row>
    <row r="17" spans="2:8" x14ac:dyDescent="0.2">
      <c r="B17" s="14" t="s">
        <v>8</v>
      </c>
      <c r="H17" s="10" t="s">
        <v>64</v>
      </c>
    </row>
    <row r="18" spans="2:8" x14ac:dyDescent="0.2">
      <c r="B18" s="4" t="s">
        <v>54</v>
      </c>
    </row>
    <row r="19" spans="2:8" x14ac:dyDescent="0.2">
      <c r="B19" s="4" t="s">
        <v>52</v>
      </c>
    </row>
    <row r="20" spans="2:8" x14ac:dyDescent="0.2">
      <c r="B20" s="4" t="s">
        <v>53</v>
      </c>
    </row>
    <row r="21" spans="2:8" x14ac:dyDescent="0.2">
      <c r="B21" s="4" t="s">
        <v>55</v>
      </c>
    </row>
    <row r="22" spans="2:8" x14ac:dyDescent="0.2">
      <c r="B22" t="s">
        <v>56</v>
      </c>
    </row>
    <row r="23" spans="2:8" x14ac:dyDescent="0.2">
      <c r="B23" t="s">
        <v>57</v>
      </c>
    </row>
    <row r="24" spans="2:8" x14ac:dyDescent="0.2">
      <c r="B24" t="s">
        <v>58</v>
      </c>
    </row>
    <row r="26" spans="2:8" x14ac:dyDescent="0.2">
      <c r="B26" s="4" t="s">
        <v>9</v>
      </c>
    </row>
    <row r="27" spans="2:8" x14ac:dyDescent="0.2">
      <c r="B27" t="s">
        <v>59</v>
      </c>
    </row>
    <row r="28" spans="2:8" x14ac:dyDescent="0.2">
      <c r="B28" t="s">
        <v>60</v>
      </c>
    </row>
    <row r="29" spans="2:8" x14ac:dyDescent="0.2">
      <c r="B29" t="s">
        <v>62</v>
      </c>
    </row>
    <row r="30" spans="2:8" x14ac:dyDescent="0.2">
      <c r="B30" t="s">
        <v>61</v>
      </c>
    </row>
    <row r="31" spans="2:8" x14ac:dyDescent="0.2">
      <c r="B3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1D18-A9A9-48C7-BC75-4527DD6FE4EC}">
  <dimension ref="A1:AU104"/>
  <sheetViews>
    <sheetView workbookViewId="0">
      <pane xSplit="2" ySplit="2" topLeftCell="J3" activePane="bottomRight" state="frozen"/>
      <selection pane="topRight" activeCell="B1" sqref="B1"/>
      <selection pane="bottomLeft" activeCell="A4" sqref="A4"/>
      <selection pane="bottomRight" activeCell="S11" sqref="S11"/>
    </sheetView>
  </sheetViews>
  <sheetFormatPr defaultRowHeight="12.75" x14ac:dyDescent="0.2"/>
  <cols>
    <col min="1" max="1" width="5" bestFit="1" customWidth="1"/>
    <col min="2" max="2" width="18.7109375" customWidth="1"/>
    <col min="3" max="3" width="9.28515625" customWidth="1"/>
    <col min="4" max="11" width="10.140625" style="2" bestFit="1" customWidth="1"/>
    <col min="12" max="12" width="10.5703125" bestFit="1" customWidth="1"/>
    <col min="14" max="14" width="9" customWidth="1"/>
    <col min="15" max="23" width="9.140625" customWidth="1"/>
    <col min="27" max="29" width="10.140625" bestFit="1" customWidth="1"/>
    <col min="30" max="31" width="9.7109375" bestFit="1" customWidth="1"/>
  </cols>
  <sheetData>
    <row r="1" spans="1:47" s="15" customFormat="1" x14ac:dyDescent="0.2">
      <c r="A1" s="16" t="s">
        <v>110</v>
      </c>
      <c r="C1" s="15">
        <v>44925</v>
      </c>
      <c r="D1" s="15">
        <v>45381</v>
      </c>
      <c r="E1" s="15">
        <v>45472</v>
      </c>
      <c r="F1" s="15">
        <v>44834</v>
      </c>
      <c r="G1" s="15">
        <v>44925</v>
      </c>
      <c r="H1" s="15">
        <v>45381</v>
      </c>
      <c r="I1" s="15">
        <v>45472</v>
      </c>
      <c r="J1" s="15">
        <v>45199</v>
      </c>
      <c r="K1" s="15">
        <v>45290</v>
      </c>
      <c r="L1" s="15">
        <v>45381</v>
      </c>
      <c r="M1" s="15">
        <v>45472</v>
      </c>
      <c r="N1" s="15">
        <v>45199</v>
      </c>
      <c r="O1" s="15">
        <v>45654</v>
      </c>
      <c r="P1" s="15">
        <v>45745</v>
      </c>
    </row>
    <row r="2" spans="1:47" s="3" customFormat="1" x14ac:dyDescent="0.2">
      <c r="B2"/>
      <c r="C2" t="s">
        <v>109</v>
      </c>
      <c r="D2" s="3" t="s">
        <v>108</v>
      </c>
      <c r="E2" s="3" t="s">
        <v>107</v>
      </c>
      <c r="F2" s="3" t="s">
        <v>106</v>
      </c>
      <c r="G2" s="3" t="s">
        <v>105</v>
      </c>
      <c r="H2" s="3" t="s">
        <v>104</v>
      </c>
      <c r="I2" s="3" t="s">
        <v>103</v>
      </c>
      <c r="J2" s="3" t="s">
        <v>102</v>
      </c>
      <c r="K2" s="3" t="s">
        <v>94</v>
      </c>
      <c r="L2" s="3" t="s">
        <v>101</v>
      </c>
      <c r="M2" s="3" t="s">
        <v>100</v>
      </c>
      <c r="N2" s="3" t="s">
        <v>99</v>
      </c>
      <c r="O2" s="3" t="s">
        <v>98</v>
      </c>
      <c r="P2" s="3" t="s">
        <v>111</v>
      </c>
      <c r="U2" s="3">
        <v>2014</v>
      </c>
      <c r="V2" s="3">
        <v>2015</v>
      </c>
      <c r="W2" s="3">
        <v>2016</v>
      </c>
      <c r="X2" s="3">
        <v>2017</v>
      </c>
      <c r="Y2" s="3">
        <v>2018</v>
      </c>
      <c r="Z2" s="3">
        <v>2019</v>
      </c>
      <c r="AA2">
        <v>2020</v>
      </c>
      <c r="AB2">
        <f t="shared" ref="AB2:AU2" si="0">+AA2+1</f>
        <v>2021</v>
      </c>
      <c r="AC2">
        <f t="shared" si="0"/>
        <v>2022</v>
      </c>
      <c r="AD2">
        <f t="shared" si="0"/>
        <v>2023</v>
      </c>
      <c r="AE2">
        <f t="shared" si="0"/>
        <v>2024</v>
      </c>
      <c r="AF2">
        <f t="shared" si="0"/>
        <v>2025</v>
      </c>
      <c r="AG2">
        <f t="shared" si="0"/>
        <v>2026</v>
      </c>
      <c r="AH2">
        <f t="shared" si="0"/>
        <v>2027</v>
      </c>
      <c r="AI2">
        <f t="shared" si="0"/>
        <v>2028</v>
      </c>
      <c r="AJ2">
        <f t="shared" si="0"/>
        <v>2029</v>
      </c>
      <c r="AK2">
        <f t="shared" si="0"/>
        <v>2030</v>
      </c>
      <c r="AL2">
        <f t="shared" si="0"/>
        <v>2031</v>
      </c>
      <c r="AM2">
        <f t="shared" si="0"/>
        <v>2032</v>
      </c>
      <c r="AN2">
        <f t="shared" si="0"/>
        <v>2033</v>
      </c>
      <c r="AO2">
        <f t="shared" si="0"/>
        <v>2034</v>
      </c>
      <c r="AP2">
        <f t="shared" si="0"/>
        <v>2035</v>
      </c>
      <c r="AQ2">
        <f t="shared" si="0"/>
        <v>2036</v>
      </c>
      <c r="AR2">
        <f t="shared" si="0"/>
        <v>2037</v>
      </c>
      <c r="AS2">
        <f t="shared" si="0"/>
        <v>2038</v>
      </c>
      <c r="AT2">
        <f t="shared" si="0"/>
        <v>2039</v>
      </c>
      <c r="AU2">
        <f t="shared" si="0"/>
        <v>2040</v>
      </c>
    </row>
    <row r="3" spans="1:47" s="11" customFormat="1" x14ac:dyDescent="0.2">
      <c r="B3" s="2" t="s">
        <v>54</v>
      </c>
      <c r="C3" s="2"/>
      <c r="G3" s="11">
        <v>65775</v>
      </c>
      <c r="H3" s="11">
        <v>51334</v>
      </c>
      <c r="I3" s="11">
        <v>39669</v>
      </c>
      <c r="J3" s="11">
        <v>43805</v>
      </c>
      <c r="K3" s="11">
        <v>69702</v>
      </c>
      <c r="L3" s="11">
        <v>45963</v>
      </c>
      <c r="M3" s="11">
        <v>39296</v>
      </c>
      <c r="N3" s="11">
        <v>46222</v>
      </c>
      <c r="O3" s="11">
        <v>69138</v>
      </c>
      <c r="P3" s="11">
        <v>46841</v>
      </c>
      <c r="Y3" s="11">
        <v>164888</v>
      </c>
      <c r="Z3" s="11">
        <v>142381</v>
      </c>
      <c r="AA3" s="2">
        <v>137781</v>
      </c>
      <c r="AB3" s="2">
        <v>191973</v>
      </c>
      <c r="AC3" s="2">
        <v>205489</v>
      </c>
      <c r="AD3" s="2">
        <f>+SUM(G3:J3)</f>
        <v>200583</v>
      </c>
      <c r="AE3" s="2">
        <v>201183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s="11" customFormat="1" x14ac:dyDescent="0.2">
      <c r="B4" s="2" t="s">
        <v>52</v>
      </c>
      <c r="C4" s="2"/>
      <c r="G4" s="11">
        <v>7735</v>
      </c>
      <c r="H4" s="11">
        <v>7168</v>
      </c>
      <c r="I4" s="11">
        <v>6840</v>
      </c>
      <c r="J4" s="11">
        <v>7614</v>
      </c>
      <c r="K4" s="11">
        <v>7780</v>
      </c>
      <c r="L4" s="11">
        <v>7451</v>
      </c>
      <c r="M4" s="11">
        <v>7009</v>
      </c>
      <c r="N4" s="11">
        <v>7744</v>
      </c>
      <c r="O4" s="11">
        <v>8987</v>
      </c>
      <c r="P4" s="11">
        <v>7949</v>
      </c>
      <c r="Y4" s="11">
        <v>25198</v>
      </c>
      <c r="Z4" s="11">
        <v>25740</v>
      </c>
      <c r="AA4" s="2">
        <v>28622</v>
      </c>
      <c r="AB4" s="2">
        <v>35190</v>
      </c>
      <c r="AC4" s="2">
        <v>40177</v>
      </c>
      <c r="AD4" s="2">
        <f t="shared" ref="AD4:AD7" si="1">+SUM(G4:J4)</f>
        <v>29357</v>
      </c>
      <c r="AE4" s="2">
        <v>29984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s="11" customFormat="1" x14ac:dyDescent="0.2">
      <c r="B5" s="2" t="s">
        <v>53</v>
      </c>
      <c r="C5" s="2"/>
      <c r="G5" s="11">
        <v>9396</v>
      </c>
      <c r="H5" s="11">
        <v>6670</v>
      </c>
      <c r="I5" s="11">
        <v>5791</v>
      </c>
      <c r="J5" s="11">
        <v>6443</v>
      </c>
      <c r="K5" s="11">
        <v>7023</v>
      </c>
      <c r="L5" s="11">
        <v>5559</v>
      </c>
      <c r="M5" s="11">
        <v>7162</v>
      </c>
      <c r="N5" s="11">
        <v>6950</v>
      </c>
      <c r="O5" s="11">
        <v>8088</v>
      </c>
      <c r="P5" s="11">
        <v>6402</v>
      </c>
      <c r="Y5" s="11">
        <v>18380</v>
      </c>
      <c r="Z5" s="11">
        <v>21280</v>
      </c>
      <c r="AA5" s="2">
        <v>23724</v>
      </c>
      <c r="AB5" s="2">
        <v>31862</v>
      </c>
      <c r="AC5" s="2">
        <v>29292</v>
      </c>
      <c r="AD5" s="2">
        <f t="shared" si="1"/>
        <v>28300</v>
      </c>
      <c r="AE5" s="2">
        <v>26694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s="11" customFormat="1" x14ac:dyDescent="0.2">
      <c r="B6" s="2" t="s">
        <v>72</v>
      </c>
      <c r="C6" s="2"/>
      <c r="G6" s="11">
        <v>13482</v>
      </c>
      <c r="H6" s="11">
        <v>8757</v>
      </c>
      <c r="I6" s="11">
        <v>8284</v>
      </c>
      <c r="J6" s="11">
        <v>9322</v>
      </c>
      <c r="K6" s="11">
        <v>11953</v>
      </c>
      <c r="L6" s="11">
        <v>7913</v>
      </c>
      <c r="M6" s="11">
        <v>8097</v>
      </c>
      <c r="N6" s="11">
        <v>9042</v>
      </c>
      <c r="O6" s="11">
        <v>11747</v>
      </c>
      <c r="P6" s="11">
        <v>7522</v>
      </c>
      <c r="Y6" s="11">
        <v>17381</v>
      </c>
      <c r="Z6" s="11">
        <v>24482</v>
      </c>
      <c r="AA6" s="2">
        <v>30620</v>
      </c>
      <c r="AB6" s="2">
        <v>38367</v>
      </c>
      <c r="AC6" s="2">
        <v>41241</v>
      </c>
      <c r="AD6" s="2">
        <f t="shared" si="1"/>
        <v>39845</v>
      </c>
      <c r="AE6" s="2">
        <v>37005</v>
      </c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s="11" customFormat="1" x14ac:dyDescent="0.2">
      <c r="B7" s="2" t="s">
        <v>9</v>
      </c>
      <c r="C7" s="2"/>
      <c r="G7" s="11">
        <v>20766</v>
      </c>
      <c r="H7" s="11">
        <v>20907</v>
      </c>
      <c r="I7" s="11">
        <v>21213</v>
      </c>
      <c r="J7" s="11">
        <v>22314</v>
      </c>
      <c r="K7" s="11">
        <v>23117</v>
      </c>
      <c r="L7" s="11">
        <v>23867</v>
      </c>
      <c r="M7" s="11">
        <v>24213</v>
      </c>
      <c r="N7" s="11">
        <v>24972</v>
      </c>
      <c r="O7" s="11">
        <v>26340</v>
      </c>
      <c r="P7" s="11">
        <v>26645</v>
      </c>
      <c r="Y7" s="11">
        <v>39748</v>
      </c>
      <c r="Z7" s="11">
        <v>46291</v>
      </c>
      <c r="AA7" s="2">
        <v>53768</v>
      </c>
      <c r="AB7" s="2">
        <v>68425</v>
      </c>
      <c r="AC7" s="2">
        <v>78129</v>
      </c>
      <c r="AD7" s="2">
        <f t="shared" si="1"/>
        <v>85200</v>
      </c>
      <c r="AE7" s="2">
        <v>96169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 s="11" customFormat="1" x14ac:dyDescent="0.2">
      <c r="B8" s="2"/>
      <c r="C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s="12" customFormat="1" x14ac:dyDescent="0.2">
      <c r="B9" s="7" t="s">
        <v>79</v>
      </c>
      <c r="C9" s="7"/>
      <c r="G9" s="12" t="e">
        <f>+G3/C3-1</f>
        <v>#DIV/0!</v>
      </c>
      <c r="H9" s="12" t="e">
        <f>+H3/D3-1</f>
        <v>#DIV/0!</v>
      </c>
      <c r="I9" s="12" t="e">
        <f>+I3/E3-1</f>
        <v>#DIV/0!</v>
      </c>
      <c r="J9" s="12" t="e">
        <f>+J3/E3-1</f>
        <v>#DIV/0!</v>
      </c>
      <c r="K9" s="12">
        <f>+K3/G3-1</f>
        <v>5.9703534777651113E-2</v>
      </c>
      <c r="L9" s="12">
        <f>+L3/H3-1</f>
        <v>-0.10462851131803486</v>
      </c>
      <c r="M9" s="12">
        <f>+M3/I3-1</f>
        <v>-9.4028082381708566E-3</v>
      </c>
      <c r="N9" s="12">
        <f>+N3/J3-1</f>
        <v>5.5176349731765884E-2</v>
      </c>
      <c r="O9" s="12">
        <f>+O3/K3-1</f>
        <v>-8.0915899113368495E-3</v>
      </c>
      <c r="P9" s="12">
        <f>+P3/L3-1</f>
        <v>1.9102321432456604E-2</v>
      </c>
      <c r="Z9" s="7">
        <f t="shared" ref="Z9:AA9" si="2">+Z3/Y3-1</f>
        <v>-0.13649871427878313</v>
      </c>
      <c r="AA9" s="7">
        <f t="shared" si="2"/>
        <v>-3.2307681502447672E-2</v>
      </c>
      <c r="AB9" s="7">
        <f t="shared" ref="AB9:AC9" si="3">+AB3/AA3-1</f>
        <v>0.39331983364905176</v>
      </c>
      <c r="AC9" s="7">
        <f t="shared" si="3"/>
        <v>7.0405734139696641E-2</v>
      </c>
      <c r="AD9" s="7">
        <f t="shared" ref="AD9:AE13" si="4">+AD3/AC3-1</f>
        <v>-2.3874757286278081E-2</v>
      </c>
      <c r="AE9" s="7">
        <f t="shared" si="4"/>
        <v>2.9912804175826757E-3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s="12" customFormat="1" x14ac:dyDescent="0.2">
      <c r="B10" s="7" t="s">
        <v>80</v>
      </c>
      <c r="C10" s="7"/>
      <c r="G10" s="12" t="e">
        <f t="shared" ref="G10:G13" si="5">+G4/C4-1</f>
        <v>#DIV/0!</v>
      </c>
      <c r="H10" s="12" t="e">
        <f t="shared" ref="H10:I13" si="6">+H4/D4-1</f>
        <v>#DIV/0!</v>
      </c>
      <c r="I10" s="12" t="e">
        <f t="shared" si="6"/>
        <v>#DIV/0!</v>
      </c>
      <c r="J10" s="12" t="e">
        <f>+J4/E4-1</f>
        <v>#DIV/0!</v>
      </c>
      <c r="K10" s="12">
        <f t="shared" ref="K10:M13" si="7">+K4/G4-1</f>
        <v>5.8177117000646206E-3</v>
      </c>
      <c r="L10" s="12">
        <f t="shared" si="7"/>
        <v>3.9481026785714191E-2</v>
      </c>
      <c r="M10" s="12">
        <f t="shared" si="7"/>
        <v>2.4707602339181234E-2</v>
      </c>
      <c r="N10" s="12">
        <f t="shared" ref="N10:P13" si="8">+N4/J4-1</f>
        <v>1.7073811400052596E-2</v>
      </c>
      <c r="O10" s="12">
        <f t="shared" si="8"/>
        <v>0.15514138817480716</v>
      </c>
      <c r="P10" s="12">
        <f t="shared" si="8"/>
        <v>6.6836666219299401E-2</v>
      </c>
      <c r="Z10" s="7">
        <f t="shared" ref="Z10:AA10" si="9">+Z4/Y4-1</f>
        <v>2.1509643622509733E-2</v>
      </c>
      <c r="AA10" s="7">
        <f t="shared" si="9"/>
        <v>0.11196581196581201</v>
      </c>
      <c r="AB10" s="7">
        <f t="shared" ref="AB10:AC10" si="10">+AB4/AA4-1</f>
        <v>0.22947383131856625</v>
      </c>
      <c r="AC10" s="7">
        <f t="shared" si="10"/>
        <v>0.14171639670360903</v>
      </c>
      <c r="AD10" s="7">
        <f t="shared" si="4"/>
        <v>-0.26930831072504169</v>
      </c>
      <c r="AE10" s="7">
        <f t="shared" si="4"/>
        <v>2.1357768164322E-2</v>
      </c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s="12" customFormat="1" x14ac:dyDescent="0.2">
      <c r="B11" s="7" t="s">
        <v>81</v>
      </c>
      <c r="C11" s="7"/>
      <c r="G11" s="12" t="e">
        <f t="shared" si="5"/>
        <v>#DIV/0!</v>
      </c>
      <c r="H11" s="12" t="e">
        <f t="shared" si="6"/>
        <v>#DIV/0!</v>
      </c>
      <c r="I11" s="12" t="e">
        <f t="shared" si="6"/>
        <v>#DIV/0!</v>
      </c>
      <c r="J11" s="12" t="e">
        <f>+J5/E5-1</f>
        <v>#DIV/0!</v>
      </c>
      <c r="K11" s="12">
        <f t="shared" si="7"/>
        <v>-0.25255427841634737</v>
      </c>
      <c r="L11" s="12">
        <f t="shared" si="7"/>
        <v>-0.16656671664167921</v>
      </c>
      <c r="M11" s="12">
        <f t="shared" si="7"/>
        <v>0.23674667587635989</v>
      </c>
      <c r="N11" s="12">
        <f t="shared" si="8"/>
        <v>7.8690051218376578E-2</v>
      </c>
      <c r="O11" s="12">
        <f t="shared" si="8"/>
        <v>0.15164459632635618</v>
      </c>
      <c r="P11" s="12">
        <f t="shared" si="8"/>
        <v>0.15164597949271452</v>
      </c>
      <c r="Z11" s="7">
        <f t="shared" ref="Z11:AA11" si="11">+Z5/Y5-1</f>
        <v>0.15778019586507064</v>
      </c>
      <c r="AA11" s="7">
        <f t="shared" si="11"/>
        <v>0.11484962406015042</v>
      </c>
      <c r="AB11" s="7">
        <f t="shared" ref="AB11:AC11" si="12">+AB5/AA5-1</f>
        <v>0.34302815714044854</v>
      </c>
      <c r="AC11" s="7">
        <f t="shared" si="12"/>
        <v>-8.0660347749670458E-2</v>
      </c>
      <c r="AD11" s="7">
        <f t="shared" si="4"/>
        <v>-3.3865901952751631E-2</v>
      </c>
      <c r="AE11" s="7">
        <f t="shared" si="4"/>
        <v>-5.674911660777382E-2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s="12" customFormat="1" x14ac:dyDescent="0.2">
      <c r="B12" s="7" t="s">
        <v>82</v>
      </c>
      <c r="C12" s="7"/>
      <c r="G12" s="12" t="e">
        <f t="shared" si="5"/>
        <v>#DIV/0!</v>
      </c>
      <c r="H12" s="12" t="e">
        <f t="shared" si="6"/>
        <v>#DIV/0!</v>
      </c>
      <c r="I12" s="12" t="e">
        <f t="shared" si="6"/>
        <v>#DIV/0!</v>
      </c>
      <c r="J12" s="12" t="e">
        <f>+J6/E6-1</f>
        <v>#DIV/0!</v>
      </c>
      <c r="K12" s="12">
        <f t="shared" si="7"/>
        <v>-0.11341047322355735</v>
      </c>
      <c r="L12" s="12">
        <f t="shared" si="7"/>
        <v>-9.6380038826082037E-2</v>
      </c>
      <c r="M12" s="12">
        <f t="shared" si="7"/>
        <v>-2.2573635924674096E-2</v>
      </c>
      <c r="N12" s="12">
        <f t="shared" si="8"/>
        <v>-3.0036472859901298E-2</v>
      </c>
      <c r="O12" s="12">
        <f t="shared" si="8"/>
        <v>-1.7234167154689173E-2</v>
      </c>
      <c r="P12" s="12">
        <f t="shared" si="8"/>
        <v>-4.9412359408568141E-2</v>
      </c>
      <c r="Z12" s="7">
        <f t="shared" ref="Z12:AA12" si="13">+Z6/Y6-1</f>
        <v>0.40854956561762834</v>
      </c>
      <c r="AA12" s="7">
        <f t="shared" si="13"/>
        <v>0.25071481088146386</v>
      </c>
      <c r="AB12" s="7">
        <f t="shared" ref="AB12:AC12" si="14">+AB6/AA6-1</f>
        <v>0.2530045721750489</v>
      </c>
      <c r="AC12" s="7">
        <f t="shared" si="14"/>
        <v>7.4908124169208001E-2</v>
      </c>
      <c r="AD12" s="7">
        <f t="shared" si="4"/>
        <v>-3.3849809655439933E-2</v>
      </c>
      <c r="AE12" s="7">
        <f t="shared" si="4"/>
        <v>-7.1276195256619435E-2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7" s="3" customFormat="1" x14ac:dyDescent="0.2">
      <c r="B13" s="7" t="s">
        <v>9</v>
      </c>
      <c r="C13" s="7"/>
      <c r="G13" s="12" t="e">
        <f t="shared" si="5"/>
        <v>#DIV/0!</v>
      </c>
      <c r="H13" s="12" t="e">
        <f t="shared" si="6"/>
        <v>#DIV/0!</v>
      </c>
      <c r="I13" s="12" t="e">
        <f t="shared" si="6"/>
        <v>#DIV/0!</v>
      </c>
      <c r="J13" s="12" t="e">
        <f>+J7/E7-1</f>
        <v>#DIV/0!</v>
      </c>
      <c r="K13" s="12">
        <f t="shared" si="7"/>
        <v>0.11321390734855052</v>
      </c>
      <c r="L13" s="12">
        <f t="shared" si="7"/>
        <v>0.14157937532883724</v>
      </c>
      <c r="M13" s="12">
        <f t="shared" si="7"/>
        <v>0.1414227124876255</v>
      </c>
      <c r="N13" s="12">
        <f t="shared" si="8"/>
        <v>0.11911804248453883</v>
      </c>
      <c r="O13" s="12">
        <f t="shared" si="8"/>
        <v>0.13942120517368162</v>
      </c>
      <c r="P13" s="12">
        <f t="shared" si="8"/>
        <v>0.11639502241588806</v>
      </c>
      <c r="Z13" s="7">
        <f t="shared" ref="Z13:AA13" si="15">+Z7/Y7-1</f>
        <v>0.16461205595250084</v>
      </c>
      <c r="AA13" s="7">
        <f t="shared" si="15"/>
        <v>0.16152167807997242</v>
      </c>
      <c r="AB13" s="7">
        <f t="shared" ref="AB13:AC13" si="16">+AB7/AA7-1</f>
        <v>0.27259708376729663</v>
      </c>
      <c r="AC13" s="7">
        <f t="shared" si="16"/>
        <v>0.14181951041286078</v>
      </c>
      <c r="AD13" s="7">
        <f t="shared" si="4"/>
        <v>9.0504166186691215E-2</v>
      </c>
      <c r="AE13" s="7">
        <f t="shared" si="4"/>
        <v>0.12874413145539898</v>
      </c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s="3" customFormat="1" x14ac:dyDescent="0.2">
      <c r="B14"/>
      <c r="C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11" customFormat="1" x14ac:dyDescent="0.2">
      <c r="B15" s="2" t="s">
        <v>65</v>
      </c>
      <c r="C15" s="2"/>
      <c r="G15" s="11">
        <v>79278</v>
      </c>
      <c r="H15" s="11">
        <v>37784</v>
      </c>
      <c r="I15" s="11">
        <v>35383</v>
      </c>
      <c r="J15" s="11">
        <v>40115</v>
      </c>
      <c r="K15" s="11">
        <v>50430</v>
      </c>
      <c r="L15" s="11">
        <v>37273</v>
      </c>
      <c r="M15" s="11">
        <v>37678</v>
      </c>
      <c r="N15" s="11">
        <v>41664</v>
      </c>
      <c r="O15" s="11">
        <v>52648</v>
      </c>
      <c r="P15" s="11">
        <v>40315</v>
      </c>
      <c r="Y15" s="11">
        <v>112093</v>
      </c>
      <c r="Z15" s="11">
        <v>116914</v>
      </c>
      <c r="AA15" s="2">
        <v>124556</v>
      </c>
      <c r="AB15" s="2">
        <v>153306</v>
      </c>
      <c r="AC15" s="2">
        <v>169658</v>
      </c>
      <c r="AD15" s="2">
        <v>162560</v>
      </c>
      <c r="AE15" s="2">
        <f>+SUM(K15:N15)</f>
        <v>167045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s="11" customFormat="1" x14ac:dyDescent="0.2">
      <c r="B16" s="2" t="s">
        <v>66</v>
      </c>
      <c r="C16" s="2"/>
      <c r="G16" s="11">
        <v>27681</v>
      </c>
      <c r="H16" s="11">
        <v>23945</v>
      </c>
      <c r="I16" s="11">
        <v>20205</v>
      </c>
      <c r="J16" s="11">
        <v>22463</v>
      </c>
      <c r="K16" s="11">
        <v>30397</v>
      </c>
      <c r="L16" s="11">
        <v>24123</v>
      </c>
      <c r="M16" s="11">
        <v>21884</v>
      </c>
      <c r="N16" s="11">
        <v>24924</v>
      </c>
      <c r="O16" s="11">
        <v>33861</v>
      </c>
      <c r="P16" s="11">
        <v>24454</v>
      </c>
      <c r="Y16" s="11">
        <v>62420</v>
      </c>
      <c r="Z16" s="11">
        <v>60288</v>
      </c>
      <c r="AA16" s="2">
        <v>68640</v>
      </c>
      <c r="AB16" s="2">
        <v>89307</v>
      </c>
      <c r="AC16" s="2">
        <v>95118</v>
      </c>
      <c r="AD16" s="2">
        <v>94294</v>
      </c>
      <c r="AE16" s="2">
        <f t="shared" ref="AE16:AE19" si="17">+SUM(K16:N16)</f>
        <v>101328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2:47" s="11" customFormat="1" x14ac:dyDescent="0.2">
      <c r="B17" s="2" t="s">
        <v>67</v>
      </c>
      <c r="C17" s="2"/>
      <c r="G17" s="11">
        <v>23905</v>
      </c>
      <c r="H17" s="11">
        <v>17812</v>
      </c>
      <c r="I17" s="11">
        <v>15758</v>
      </c>
      <c r="J17" s="11">
        <v>15084</v>
      </c>
      <c r="K17" s="11">
        <v>20719</v>
      </c>
      <c r="L17" s="11">
        <v>16372</v>
      </c>
      <c r="M17" s="11">
        <v>14728</v>
      </c>
      <c r="N17" s="11">
        <v>15033</v>
      </c>
      <c r="O17" s="11">
        <v>18513</v>
      </c>
      <c r="P17" s="11">
        <v>16002</v>
      </c>
      <c r="Y17" s="11">
        <v>51942</v>
      </c>
      <c r="Z17" s="11">
        <v>43678</v>
      </c>
      <c r="AA17" s="2">
        <v>40308</v>
      </c>
      <c r="AB17" s="2">
        <v>68366</v>
      </c>
      <c r="AC17" s="2">
        <v>74200</v>
      </c>
      <c r="AD17" s="2">
        <v>72559</v>
      </c>
      <c r="AE17" s="2">
        <f t="shared" si="17"/>
        <v>66852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</row>
    <row r="18" spans="2:47" s="11" customFormat="1" x14ac:dyDescent="0.2">
      <c r="B18" s="2" t="s">
        <v>68</v>
      </c>
      <c r="C18" s="2"/>
      <c r="G18" s="11">
        <v>6755</v>
      </c>
      <c r="H18" s="11">
        <v>7176</v>
      </c>
      <c r="I18" s="11">
        <v>4821</v>
      </c>
      <c r="J18" s="11">
        <v>5505</v>
      </c>
      <c r="K18" s="11">
        <v>7767</v>
      </c>
      <c r="L18" s="11">
        <v>6262</v>
      </c>
      <c r="M18" s="11">
        <v>5097</v>
      </c>
      <c r="N18" s="11">
        <v>5926</v>
      </c>
      <c r="O18" s="11">
        <v>8987</v>
      </c>
      <c r="P18" s="11">
        <v>7298</v>
      </c>
      <c r="Y18" s="11">
        <v>21733</v>
      </c>
      <c r="Z18" s="11">
        <v>21506</v>
      </c>
      <c r="AA18" s="2">
        <v>21418</v>
      </c>
      <c r="AB18" s="2">
        <v>28482</v>
      </c>
      <c r="AC18" s="2">
        <v>25977</v>
      </c>
      <c r="AD18" s="2">
        <v>24257</v>
      </c>
      <c r="AE18" s="2">
        <f t="shared" si="17"/>
        <v>25052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</row>
    <row r="19" spans="2:47" s="11" customFormat="1" x14ac:dyDescent="0.2">
      <c r="B19" s="2" t="s">
        <v>69</v>
      </c>
      <c r="C19" s="2"/>
      <c r="G19" s="11">
        <v>9535</v>
      </c>
      <c r="H19" s="11">
        <v>8119</v>
      </c>
      <c r="I19" s="11">
        <v>5630</v>
      </c>
      <c r="J19" s="11">
        <v>6331</v>
      </c>
      <c r="K19" s="11">
        <v>10162</v>
      </c>
      <c r="L19" s="11">
        <v>6723</v>
      </c>
      <c r="M19" s="11">
        <v>6390</v>
      </c>
      <c r="N19" s="11">
        <v>7383</v>
      </c>
      <c r="O19" s="11">
        <v>10291</v>
      </c>
      <c r="P19" s="11">
        <v>7290</v>
      </c>
      <c r="Y19" s="11">
        <v>17407</v>
      </c>
      <c r="Z19" s="11">
        <v>17788</v>
      </c>
      <c r="AA19" s="2">
        <v>19593</v>
      </c>
      <c r="AB19" s="2">
        <v>26356</v>
      </c>
      <c r="AC19" s="2">
        <v>29375</v>
      </c>
      <c r="AD19" s="2">
        <v>29615</v>
      </c>
      <c r="AE19" s="2">
        <f t="shared" si="17"/>
        <v>30658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2:47" s="11" customFormat="1" x14ac:dyDescent="0.2">
      <c r="B20" s="2"/>
      <c r="C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2:47" s="12" customFormat="1" x14ac:dyDescent="0.2">
      <c r="B21" s="7" t="s">
        <v>74</v>
      </c>
      <c r="C21" s="7"/>
      <c r="G21" s="12" t="e">
        <f t="shared" ref="G21:P25" si="18">+G15/C15-1</f>
        <v>#DIV/0!</v>
      </c>
      <c r="H21" s="12" t="e">
        <f t="shared" si="18"/>
        <v>#DIV/0!</v>
      </c>
      <c r="I21" s="12" t="e">
        <f t="shared" si="18"/>
        <v>#DIV/0!</v>
      </c>
      <c r="J21" s="12" t="e">
        <f t="shared" si="18"/>
        <v>#DIV/0!</v>
      </c>
      <c r="K21" s="12">
        <f t="shared" si="18"/>
        <v>-0.36388405358359188</v>
      </c>
      <c r="L21" s="12">
        <f t="shared" si="18"/>
        <v>-1.3524243065847985E-2</v>
      </c>
      <c r="M21" s="12">
        <f t="shared" si="18"/>
        <v>6.4861656727807082E-2</v>
      </c>
      <c r="N21" s="12">
        <f t="shared" si="18"/>
        <v>3.8613984793718137E-2</v>
      </c>
      <c r="O21" s="12">
        <f t="shared" si="18"/>
        <v>4.3981756890739687E-2</v>
      </c>
      <c r="P21" s="12">
        <f t="shared" si="18"/>
        <v>8.1614036970461212E-2</v>
      </c>
      <c r="Y21" s="7"/>
      <c r="Z21" s="7">
        <f t="shared" ref="Z21:AD25" si="19">+Z15/Y15-1</f>
        <v>4.3008930084840191E-2</v>
      </c>
      <c r="AA21" s="7">
        <f t="shared" si="19"/>
        <v>6.5364284858956179E-2</v>
      </c>
      <c r="AB21" s="7">
        <f t="shared" si="19"/>
        <v>0.23081987218600464</v>
      </c>
      <c r="AC21" s="7">
        <f t="shared" si="19"/>
        <v>0.10666249200944522</v>
      </c>
      <c r="AD21" s="7">
        <f t="shared" si="19"/>
        <v>-4.1837107592922251E-2</v>
      </c>
      <c r="AE21" s="7">
        <f>+AE15/AD15-1</f>
        <v>2.7589812992125928E-2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2:47" s="12" customFormat="1" x14ac:dyDescent="0.2">
      <c r="B22" s="7" t="s">
        <v>75</v>
      </c>
      <c r="C22" s="7"/>
      <c r="G22" s="12" t="e">
        <f t="shared" si="18"/>
        <v>#DIV/0!</v>
      </c>
      <c r="H22" s="12" t="e">
        <f t="shared" si="18"/>
        <v>#DIV/0!</v>
      </c>
      <c r="I22" s="12" t="e">
        <f t="shared" si="18"/>
        <v>#DIV/0!</v>
      </c>
      <c r="J22" s="12" t="e">
        <f t="shared" si="18"/>
        <v>#DIV/0!</v>
      </c>
      <c r="K22" s="12">
        <f t="shared" si="18"/>
        <v>9.8117842563491209E-2</v>
      </c>
      <c r="L22" s="12">
        <f t="shared" si="18"/>
        <v>7.4337022342869652E-3</v>
      </c>
      <c r="M22" s="12">
        <f t="shared" si="18"/>
        <v>8.3098243009156247E-2</v>
      </c>
      <c r="N22" s="12">
        <f t="shared" si="18"/>
        <v>0.10955793972310013</v>
      </c>
      <c r="O22" s="12">
        <f t="shared" si="18"/>
        <v>0.1139586143369411</v>
      </c>
      <c r="P22" s="12">
        <f t="shared" si="18"/>
        <v>1.3721344774696442E-2</v>
      </c>
      <c r="Y22" s="7"/>
      <c r="Z22" s="7">
        <f t="shared" si="19"/>
        <v>-3.4155719320730582E-2</v>
      </c>
      <c r="AA22" s="7">
        <f t="shared" si="19"/>
        <v>0.13853503184713367</v>
      </c>
      <c r="AB22" s="7">
        <f t="shared" si="19"/>
        <v>0.30109265734265733</v>
      </c>
      <c r="AC22" s="7">
        <f t="shared" si="19"/>
        <v>6.5067687863213486E-2</v>
      </c>
      <c r="AD22" s="7">
        <f t="shared" si="19"/>
        <v>-8.662923947097334E-3</v>
      </c>
      <c r="AE22" s="7">
        <f t="shared" ref="AE22:AE25" si="20">+AE16/AD16-1</f>
        <v>7.4596474855239903E-2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2:47" s="12" customFormat="1" x14ac:dyDescent="0.2">
      <c r="B23" s="7" t="s">
        <v>76</v>
      </c>
      <c r="C23" s="7"/>
      <c r="G23" s="12" t="e">
        <f t="shared" si="18"/>
        <v>#DIV/0!</v>
      </c>
      <c r="H23" s="12" t="e">
        <f t="shared" si="18"/>
        <v>#DIV/0!</v>
      </c>
      <c r="I23" s="12" t="e">
        <f t="shared" si="18"/>
        <v>#DIV/0!</v>
      </c>
      <c r="J23" s="12" t="e">
        <f t="shared" si="18"/>
        <v>#DIV/0!</v>
      </c>
      <c r="K23" s="12">
        <f t="shared" si="18"/>
        <v>-0.13327755699644428</v>
      </c>
      <c r="L23" s="12">
        <f t="shared" si="18"/>
        <v>-8.0844374578935563E-2</v>
      </c>
      <c r="M23" s="12">
        <f t="shared" si="18"/>
        <v>-6.5363624825485522E-2</v>
      </c>
      <c r="N23" s="12">
        <f t="shared" si="18"/>
        <v>-3.381066030230695E-3</v>
      </c>
      <c r="O23" s="12">
        <f t="shared" si="18"/>
        <v>-0.1064723200926686</v>
      </c>
      <c r="P23" s="12">
        <f t="shared" si="18"/>
        <v>-2.2599560224774051E-2</v>
      </c>
      <c r="Y23" s="7"/>
      <c r="Z23" s="7">
        <f t="shared" si="19"/>
        <v>-0.15910053521235223</v>
      </c>
      <c r="AA23" s="7">
        <f t="shared" si="19"/>
        <v>-7.7155547415174719E-2</v>
      </c>
      <c r="AB23" s="7">
        <f t="shared" si="19"/>
        <v>0.69609010618239564</v>
      </c>
      <c r="AC23" s="7">
        <f t="shared" si="19"/>
        <v>8.533481555159006E-2</v>
      </c>
      <c r="AD23" s="7">
        <f t="shared" si="19"/>
        <v>-2.2115902964959577E-2</v>
      </c>
      <c r="AE23" s="7">
        <f t="shared" si="20"/>
        <v>-7.8653233919982357E-2</v>
      </c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2:47" s="12" customFormat="1" x14ac:dyDescent="0.2">
      <c r="B24" s="7" t="s">
        <v>77</v>
      </c>
      <c r="C24" s="7"/>
      <c r="G24" s="12" t="e">
        <f t="shared" si="18"/>
        <v>#DIV/0!</v>
      </c>
      <c r="H24" s="12" t="e">
        <f t="shared" si="18"/>
        <v>#DIV/0!</v>
      </c>
      <c r="I24" s="12" t="e">
        <f t="shared" si="18"/>
        <v>#DIV/0!</v>
      </c>
      <c r="J24" s="12" t="e">
        <f t="shared" si="18"/>
        <v>#DIV/0!</v>
      </c>
      <c r="K24" s="12">
        <f t="shared" si="18"/>
        <v>0.14981495188749072</v>
      </c>
      <c r="L24" s="12">
        <f t="shared" si="18"/>
        <v>-0.12736900780379046</v>
      </c>
      <c r="M24" s="12">
        <f t="shared" si="18"/>
        <v>5.724953329184812E-2</v>
      </c>
      <c r="N24" s="12">
        <f t="shared" si="18"/>
        <v>7.6475930971843686E-2</v>
      </c>
      <c r="O24" s="12">
        <f t="shared" si="18"/>
        <v>0.15707480365649551</v>
      </c>
      <c r="P24" s="12">
        <f t="shared" si="18"/>
        <v>0.16544235068668156</v>
      </c>
      <c r="Y24" s="7"/>
      <c r="Z24" s="7">
        <f t="shared" si="19"/>
        <v>-1.0444945474623824E-2</v>
      </c>
      <c r="AA24" s="7">
        <f t="shared" si="19"/>
        <v>-4.0918813354412498E-3</v>
      </c>
      <c r="AB24" s="7">
        <f t="shared" si="19"/>
        <v>0.32981604258100661</v>
      </c>
      <c r="AC24" s="7">
        <f t="shared" si="19"/>
        <v>-8.7950284390141187E-2</v>
      </c>
      <c r="AD24" s="7">
        <f t="shared" si="19"/>
        <v>-6.621241867806138E-2</v>
      </c>
      <c r="AE24" s="7">
        <f t="shared" si="20"/>
        <v>3.2774044605680785E-2</v>
      </c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2:47" s="12" customFormat="1" x14ac:dyDescent="0.2">
      <c r="B25" s="7" t="s">
        <v>78</v>
      </c>
      <c r="C25" s="7"/>
      <c r="G25" s="12" t="e">
        <f t="shared" si="18"/>
        <v>#DIV/0!</v>
      </c>
      <c r="H25" s="12" t="e">
        <f t="shared" si="18"/>
        <v>#DIV/0!</v>
      </c>
      <c r="I25" s="12" t="e">
        <f t="shared" si="18"/>
        <v>#DIV/0!</v>
      </c>
      <c r="J25" s="12" t="e">
        <f t="shared" si="18"/>
        <v>#DIV/0!</v>
      </c>
      <c r="K25" s="12">
        <f t="shared" si="18"/>
        <v>6.5757734661772371E-2</v>
      </c>
      <c r="L25" s="12">
        <f t="shared" si="18"/>
        <v>-0.17194235743318143</v>
      </c>
      <c r="M25" s="12">
        <f t="shared" si="18"/>
        <v>0.13499111900532856</v>
      </c>
      <c r="N25" s="12">
        <f t="shared" si="18"/>
        <v>0.16616648238824827</v>
      </c>
      <c r="O25" s="12">
        <f t="shared" si="18"/>
        <v>1.2694351505609047E-2</v>
      </c>
      <c r="P25" s="12">
        <f t="shared" si="18"/>
        <v>8.43373493975903E-2</v>
      </c>
      <c r="Y25" s="7"/>
      <c r="Z25" s="7">
        <f t="shared" si="19"/>
        <v>2.188774630895618E-2</v>
      </c>
      <c r="AA25" s="7">
        <f t="shared" si="19"/>
        <v>0.10147290308072865</v>
      </c>
      <c r="AB25" s="7">
        <f t="shared" si="19"/>
        <v>0.34517429694278579</v>
      </c>
      <c r="AC25" s="7">
        <f t="shared" si="19"/>
        <v>0.11454697222643806</v>
      </c>
      <c r="AD25" s="7">
        <f t="shared" si="19"/>
        <v>8.1702127659575297E-3</v>
      </c>
      <c r="AE25" s="7">
        <f t="shared" si="20"/>
        <v>3.5218639203106639E-2</v>
      </c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2:47" s="3" customFormat="1" x14ac:dyDescent="0.2">
      <c r="B26"/>
      <c r="C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2:47" x14ac:dyDescent="0.2">
      <c r="B27" t="s">
        <v>8</v>
      </c>
      <c r="D27" s="2">
        <v>77457</v>
      </c>
      <c r="E27" s="2">
        <v>63355</v>
      </c>
      <c r="F27" s="2">
        <v>70958</v>
      </c>
      <c r="G27" s="2">
        <v>96388</v>
      </c>
      <c r="H27" s="2">
        <v>73929</v>
      </c>
      <c r="I27" s="2">
        <v>60584</v>
      </c>
      <c r="J27" s="2">
        <v>67184</v>
      </c>
      <c r="K27" s="2">
        <v>96458</v>
      </c>
      <c r="L27" s="2">
        <v>66886</v>
      </c>
      <c r="M27" s="2">
        <v>61564</v>
      </c>
      <c r="N27" s="2">
        <v>69958</v>
      </c>
      <c r="O27" s="2">
        <v>97960</v>
      </c>
      <c r="P27" s="2">
        <v>68714</v>
      </c>
      <c r="Q27" s="2"/>
      <c r="R27" s="2"/>
      <c r="S27" s="2"/>
      <c r="T27" s="2"/>
      <c r="U27" s="2"/>
      <c r="V27" s="2"/>
      <c r="W27" s="2"/>
      <c r="Y27" s="2">
        <v>225847</v>
      </c>
      <c r="Z27" s="2">
        <v>213883</v>
      </c>
      <c r="AA27" s="2">
        <v>220747</v>
      </c>
      <c r="AB27" s="2">
        <v>297392</v>
      </c>
      <c r="AC27" s="2">
        <v>316199</v>
      </c>
      <c r="AD27" s="2">
        <v>298085</v>
      </c>
      <c r="AE27" s="2">
        <f>+SUM(K27:N27)</f>
        <v>294866</v>
      </c>
    </row>
    <row r="28" spans="2:47" x14ac:dyDescent="0.2">
      <c r="B28" t="s">
        <v>9</v>
      </c>
      <c r="D28" s="2">
        <v>19821</v>
      </c>
      <c r="E28" s="2">
        <v>19604</v>
      </c>
      <c r="F28" s="2">
        <v>19188</v>
      </c>
      <c r="G28" s="2">
        <v>20766</v>
      </c>
      <c r="H28" s="2">
        <v>20907</v>
      </c>
      <c r="I28" s="2">
        <v>21213</v>
      </c>
      <c r="J28" s="2">
        <v>22314</v>
      </c>
      <c r="K28" s="2">
        <v>23117</v>
      </c>
      <c r="L28" s="2">
        <v>23867</v>
      </c>
      <c r="M28" s="2">
        <v>24213</v>
      </c>
      <c r="N28" s="2">
        <v>24972</v>
      </c>
      <c r="O28" s="2">
        <v>26340</v>
      </c>
      <c r="P28" s="2">
        <v>26645</v>
      </c>
      <c r="Q28" s="2"/>
      <c r="R28" s="2"/>
      <c r="S28" s="2"/>
      <c r="T28" s="2"/>
      <c r="U28" s="2"/>
      <c r="V28" s="2"/>
      <c r="W28" s="2"/>
      <c r="X28" s="7"/>
      <c r="Y28" s="2">
        <v>39748</v>
      </c>
      <c r="Z28" s="2">
        <v>46291</v>
      </c>
      <c r="AA28" s="2">
        <v>53768</v>
      </c>
      <c r="AB28" s="2">
        <v>68425</v>
      </c>
      <c r="AC28" s="2">
        <v>78129</v>
      </c>
      <c r="AD28" s="2">
        <v>85200</v>
      </c>
      <c r="AE28" s="2">
        <f>+SUM(K28:N28)</f>
        <v>96169</v>
      </c>
    </row>
    <row r="29" spans="2:47" s="4" customFormat="1" x14ac:dyDescent="0.2">
      <c r="B29" s="4" t="s">
        <v>10</v>
      </c>
      <c r="D29" s="5">
        <f t="shared" ref="D29:K29" si="21">+D27+D28</f>
        <v>97278</v>
      </c>
      <c r="E29" s="5">
        <f t="shared" si="21"/>
        <v>82959</v>
      </c>
      <c r="F29" s="5">
        <f t="shared" si="21"/>
        <v>90146</v>
      </c>
      <c r="G29" s="5">
        <f t="shared" si="21"/>
        <v>117154</v>
      </c>
      <c r="H29" s="5">
        <f t="shared" si="21"/>
        <v>94836</v>
      </c>
      <c r="I29" s="5">
        <f t="shared" si="21"/>
        <v>81797</v>
      </c>
      <c r="J29" s="5">
        <f t="shared" si="21"/>
        <v>89498</v>
      </c>
      <c r="K29" s="5">
        <f t="shared" si="21"/>
        <v>119575</v>
      </c>
      <c r="L29" s="5">
        <f t="shared" ref="L29:M29" si="22">+L27+L28</f>
        <v>90753</v>
      </c>
      <c r="M29" s="5">
        <f t="shared" si="22"/>
        <v>85777</v>
      </c>
      <c r="N29" s="5">
        <f t="shared" ref="N29:O29" si="23">+N27+N28</f>
        <v>94930</v>
      </c>
      <c r="O29" s="5">
        <f t="shared" si="23"/>
        <v>124300</v>
      </c>
      <c r="P29" s="5">
        <f t="shared" ref="P29" si="24">+P27+P28</f>
        <v>95359</v>
      </c>
      <c r="Q29" s="5"/>
      <c r="R29" s="5"/>
      <c r="S29" s="5"/>
      <c r="T29" s="5"/>
      <c r="U29" s="5">
        <v>182795</v>
      </c>
      <c r="V29" s="5">
        <v>233715</v>
      </c>
      <c r="W29" s="5">
        <v>215639</v>
      </c>
      <c r="X29" s="5">
        <v>229234</v>
      </c>
      <c r="Y29" s="5">
        <f t="shared" ref="Y29:AC29" si="25">+Y27+Y28</f>
        <v>265595</v>
      </c>
      <c r="Z29" s="5">
        <f t="shared" si="25"/>
        <v>260174</v>
      </c>
      <c r="AA29" s="5">
        <f t="shared" si="25"/>
        <v>274515</v>
      </c>
      <c r="AB29" s="5">
        <f t="shared" si="25"/>
        <v>365817</v>
      </c>
      <c r="AC29" s="5">
        <f t="shared" si="25"/>
        <v>394328</v>
      </c>
      <c r="AD29" s="5">
        <f>+AD27+AD28</f>
        <v>383285</v>
      </c>
      <c r="AE29" s="5">
        <f>+AE27+AE28</f>
        <v>391035</v>
      </c>
    </row>
    <row r="30" spans="2:47" s="2" customFormat="1" x14ac:dyDescent="0.2">
      <c r="B30" s="2" t="s">
        <v>92</v>
      </c>
      <c r="G30" s="2">
        <v>60765</v>
      </c>
      <c r="H30" s="2">
        <v>46795</v>
      </c>
      <c r="I30" s="2">
        <v>39136</v>
      </c>
      <c r="J30" s="2">
        <v>42586</v>
      </c>
      <c r="K30" s="2">
        <v>58440</v>
      </c>
      <c r="L30" s="2">
        <v>42424</v>
      </c>
      <c r="M30" s="2">
        <v>39803</v>
      </c>
      <c r="N30" s="2">
        <v>44566</v>
      </c>
      <c r="O30" s="2">
        <v>59447</v>
      </c>
      <c r="P30" s="2">
        <v>44030</v>
      </c>
      <c r="Y30" s="2">
        <v>148164</v>
      </c>
      <c r="Z30" s="2">
        <v>144996</v>
      </c>
      <c r="AA30" s="2">
        <v>151286</v>
      </c>
      <c r="AB30" s="2">
        <v>192266</v>
      </c>
      <c r="AC30" s="2">
        <v>201471</v>
      </c>
      <c r="AD30" s="2">
        <v>189282</v>
      </c>
      <c r="AE30" s="2">
        <v>185233</v>
      </c>
    </row>
    <row r="31" spans="2:47" s="2" customFormat="1" x14ac:dyDescent="0.2">
      <c r="B31" s="2" t="s">
        <v>93</v>
      </c>
      <c r="G31" s="2">
        <v>6057</v>
      </c>
      <c r="H31" s="2">
        <v>6065</v>
      </c>
      <c r="I31" s="2">
        <v>6248</v>
      </c>
      <c r="J31" s="2">
        <v>6485</v>
      </c>
      <c r="K31" s="2">
        <v>6280</v>
      </c>
      <c r="L31" s="2">
        <v>6058</v>
      </c>
      <c r="M31" s="2">
        <v>6296</v>
      </c>
      <c r="N31" s="2">
        <v>6485</v>
      </c>
      <c r="O31" s="2">
        <v>6578</v>
      </c>
      <c r="P31" s="2">
        <v>6462</v>
      </c>
      <c r="Y31" s="2">
        <v>15592</v>
      </c>
      <c r="Z31" s="2">
        <v>16786</v>
      </c>
      <c r="AA31" s="2">
        <v>18273</v>
      </c>
      <c r="AB31" s="2">
        <v>20715</v>
      </c>
      <c r="AC31" s="2">
        <v>22075</v>
      </c>
      <c r="AD31" s="2">
        <v>24855</v>
      </c>
      <c r="AE31" s="2">
        <v>25119</v>
      </c>
    </row>
    <row r="32" spans="2:47" x14ac:dyDescent="0.2">
      <c r="B32" t="s">
        <v>11</v>
      </c>
      <c r="D32" s="2">
        <v>54719</v>
      </c>
      <c r="E32" s="2">
        <v>47074</v>
      </c>
      <c r="F32" s="2">
        <v>52051</v>
      </c>
      <c r="G32" s="2">
        <f t="shared" ref="G32:O32" si="26">+SUM(G30:G31)</f>
        <v>66822</v>
      </c>
      <c r="H32" s="2">
        <f t="shared" si="26"/>
        <v>52860</v>
      </c>
      <c r="I32" s="2">
        <f t="shared" si="26"/>
        <v>45384</v>
      </c>
      <c r="J32" s="2">
        <f t="shared" si="26"/>
        <v>49071</v>
      </c>
      <c r="K32" s="2">
        <f t="shared" si="26"/>
        <v>64720</v>
      </c>
      <c r="L32" s="2">
        <f t="shared" si="26"/>
        <v>48482</v>
      </c>
      <c r="M32" s="2">
        <f t="shared" si="26"/>
        <v>46099</v>
      </c>
      <c r="N32" s="2">
        <f t="shared" si="26"/>
        <v>51051</v>
      </c>
      <c r="O32" s="2">
        <f t="shared" si="26"/>
        <v>66025</v>
      </c>
      <c r="P32" s="2">
        <f t="shared" ref="P32" si="27">+SUM(P30:P31)</f>
        <v>50492</v>
      </c>
      <c r="Q32" s="2"/>
      <c r="R32" s="2"/>
      <c r="S32" s="2"/>
      <c r="T32" s="2"/>
      <c r="U32" s="2">
        <v>112258</v>
      </c>
      <c r="V32" s="2">
        <v>140089</v>
      </c>
      <c r="W32" s="2">
        <v>131376</v>
      </c>
      <c r="X32" s="2">
        <v>141048</v>
      </c>
      <c r="Y32" s="2">
        <v>163756</v>
      </c>
      <c r="Z32" s="2">
        <v>161782</v>
      </c>
      <c r="AA32" s="2">
        <v>169559</v>
      </c>
      <c r="AB32" s="2">
        <v>212981</v>
      </c>
      <c r="AC32" s="2">
        <v>223546</v>
      </c>
      <c r="AD32" s="2">
        <v>214137</v>
      </c>
      <c r="AE32" s="2">
        <f>+SUM(AE30:AE31)</f>
        <v>210352</v>
      </c>
    </row>
    <row r="33" spans="2:31" s="4" customFormat="1" x14ac:dyDescent="0.2">
      <c r="B33" s="4" t="s">
        <v>12</v>
      </c>
      <c r="D33" s="5">
        <f>+D29-D32</f>
        <v>42559</v>
      </c>
      <c r="E33" s="5">
        <f>+E29-E32</f>
        <v>35885</v>
      </c>
      <c r="F33" s="5">
        <f>+F29-F32</f>
        <v>38095</v>
      </c>
      <c r="G33" s="5">
        <f>+G29-G32</f>
        <v>50332</v>
      </c>
      <c r="H33" s="5">
        <f>+H29-H32</f>
        <v>41976</v>
      </c>
      <c r="I33" s="5">
        <f>+I29-I32</f>
        <v>36413</v>
      </c>
      <c r="J33" s="5">
        <f>+J29-J32</f>
        <v>40427</v>
      </c>
      <c r="K33" s="5">
        <f>+K29-K32</f>
        <v>54855</v>
      </c>
      <c r="L33" s="5">
        <f>+L29-L32</f>
        <v>42271</v>
      </c>
      <c r="M33" s="5">
        <f>+M29-M32</f>
        <v>39678</v>
      </c>
      <c r="N33" s="5">
        <f>+N29-N32</f>
        <v>43879</v>
      </c>
      <c r="O33" s="5">
        <f>+O29-O32</f>
        <v>58275</v>
      </c>
      <c r="P33" s="5">
        <f>+P29-P32</f>
        <v>44867</v>
      </c>
      <c r="Q33" s="5"/>
      <c r="R33" s="5"/>
      <c r="S33" s="5"/>
      <c r="T33" s="5"/>
      <c r="U33" s="5">
        <f>+U29-U32</f>
        <v>70537</v>
      </c>
      <c r="V33" s="5">
        <f>+V29-V32</f>
        <v>93626</v>
      </c>
      <c r="W33" s="5">
        <f>+W29-W32</f>
        <v>84263</v>
      </c>
      <c r="X33" s="5">
        <f>+X29-X32</f>
        <v>88186</v>
      </c>
      <c r="Y33" s="5">
        <f>+Y29-Y32</f>
        <v>101839</v>
      </c>
      <c r="Z33" s="5">
        <f>+Z29-Z32</f>
        <v>98392</v>
      </c>
      <c r="AA33" s="5">
        <f>+AA29-AA32</f>
        <v>104956</v>
      </c>
      <c r="AB33" s="5">
        <f>+AB29-AB32</f>
        <v>152836</v>
      </c>
      <c r="AC33" s="5">
        <f>+AC29-AC32</f>
        <v>170782</v>
      </c>
      <c r="AD33" s="5">
        <f>+AD29-AD32</f>
        <v>169148</v>
      </c>
      <c r="AE33" s="5">
        <f>+AE29-AE32</f>
        <v>180683</v>
      </c>
    </row>
    <row r="34" spans="2:31" x14ac:dyDescent="0.2">
      <c r="B34" t="s">
        <v>13</v>
      </c>
      <c r="D34" s="2">
        <v>6387</v>
      </c>
      <c r="E34" s="2">
        <v>6797</v>
      </c>
      <c r="F34" s="2">
        <v>6761</v>
      </c>
      <c r="G34" s="2">
        <v>7709</v>
      </c>
      <c r="H34" s="2">
        <v>7457</v>
      </c>
      <c r="I34" s="2">
        <v>7442</v>
      </c>
      <c r="J34" s="2">
        <v>7307</v>
      </c>
      <c r="K34" s="2">
        <v>7696</v>
      </c>
      <c r="L34" s="2">
        <v>7903</v>
      </c>
      <c r="M34" s="2">
        <v>8006</v>
      </c>
      <c r="N34" s="2">
        <v>7765</v>
      </c>
      <c r="O34" s="2">
        <v>8268</v>
      </c>
      <c r="P34" s="2">
        <v>8550</v>
      </c>
      <c r="Q34" s="2"/>
      <c r="R34" s="2"/>
      <c r="S34" s="2"/>
      <c r="T34" s="2"/>
      <c r="U34" s="2">
        <v>6041</v>
      </c>
      <c r="V34" s="2">
        <v>8067</v>
      </c>
      <c r="W34" s="2">
        <v>10045</v>
      </c>
      <c r="X34" s="2">
        <v>11581</v>
      </c>
      <c r="Y34" s="2">
        <v>14236</v>
      </c>
      <c r="Z34" s="2">
        <v>16217</v>
      </c>
      <c r="AA34" s="2">
        <v>18752</v>
      </c>
      <c r="AB34" s="2">
        <v>21914</v>
      </c>
      <c r="AC34" s="2">
        <v>26251</v>
      </c>
      <c r="AD34" s="2">
        <v>29915</v>
      </c>
      <c r="AE34" s="2">
        <f>+SUM(K34:N34)</f>
        <v>31370</v>
      </c>
    </row>
    <row r="35" spans="2:31" x14ac:dyDescent="0.2">
      <c r="B35" t="s">
        <v>14</v>
      </c>
      <c r="D35" s="2">
        <v>6193</v>
      </c>
      <c r="E35" s="2">
        <v>6012</v>
      </c>
      <c r="F35" s="2">
        <v>6440</v>
      </c>
      <c r="G35" s="2">
        <v>6607</v>
      </c>
      <c r="H35" s="2">
        <v>6201</v>
      </c>
      <c r="I35" s="2">
        <v>5973</v>
      </c>
      <c r="J35" s="2">
        <v>6151</v>
      </c>
      <c r="K35" s="2">
        <v>6786</v>
      </c>
      <c r="L35" s="2">
        <v>6468</v>
      </c>
      <c r="M35" s="2">
        <v>6320</v>
      </c>
      <c r="N35" s="2">
        <v>6523</v>
      </c>
      <c r="O35" s="2">
        <v>7175</v>
      </c>
      <c r="P35" s="2">
        <v>6728</v>
      </c>
      <c r="Q35" s="2"/>
      <c r="R35" s="2"/>
      <c r="S35" s="2"/>
      <c r="T35" s="2"/>
      <c r="U35" s="2">
        <v>11993</v>
      </c>
      <c r="V35" s="2">
        <v>14329</v>
      </c>
      <c r="W35" s="2">
        <v>14194</v>
      </c>
      <c r="X35" s="2">
        <v>15261</v>
      </c>
      <c r="Y35" s="2">
        <v>16705</v>
      </c>
      <c r="Z35" s="2">
        <v>18245</v>
      </c>
      <c r="AA35" s="2">
        <v>19916</v>
      </c>
      <c r="AB35" s="2">
        <v>21973</v>
      </c>
      <c r="AC35" s="2">
        <v>25094</v>
      </c>
      <c r="AD35" s="2">
        <v>24932</v>
      </c>
      <c r="AE35" s="2">
        <f>+SUM(K35:N35)</f>
        <v>26097</v>
      </c>
    </row>
    <row r="36" spans="2:31" x14ac:dyDescent="0.2">
      <c r="B36" t="s">
        <v>15</v>
      </c>
      <c r="D36" s="2">
        <f t="shared" ref="D36:K36" si="28">+D34+D35</f>
        <v>12580</v>
      </c>
      <c r="E36" s="2">
        <f t="shared" si="28"/>
        <v>12809</v>
      </c>
      <c r="F36" s="2">
        <f t="shared" si="28"/>
        <v>13201</v>
      </c>
      <c r="G36" s="2">
        <f t="shared" si="28"/>
        <v>14316</v>
      </c>
      <c r="H36" s="2">
        <f t="shared" si="28"/>
        <v>13658</v>
      </c>
      <c r="I36" s="2">
        <f t="shared" si="28"/>
        <v>13415</v>
      </c>
      <c r="J36" s="2">
        <f t="shared" si="28"/>
        <v>13458</v>
      </c>
      <c r="K36" s="2">
        <f t="shared" si="28"/>
        <v>14482</v>
      </c>
      <c r="L36" s="2">
        <f t="shared" ref="L36:M36" si="29">+L34+L35</f>
        <v>14371</v>
      </c>
      <c r="M36" s="2">
        <f t="shared" si="29"/>
        <v>14326</v>
      </c>
      <c r="N36" s="2">
        <f t="shared" ref="N36:O36" si="30">+N34+N35</f>
        <v>14288</v>
      </c>
      <c r="O36" s="2">
        <f t="shared" si="30"/>
        <v>15443</v>
      </c>
      <c r="P36" s="2">
        <f t="shared" ref="P36" si="31">+P34+P35</f>
        <v>15278</v>
      </c>
      <c r="Q36" s="2"/>
      <c r="R36" s="2"/>
      <c r="S36" s="2"/>
      <c r="T36" s="2"/>
      <c r="U36" s="2">
        <f t="shared" ref="U36:V36" si="32">+U34+U35</f>
        <v>18034</v>
      </c>
      <c r="V36" s="2">
        <f t="shared" si="32"/>
        <v>22396</v>
      </c>
      <c r="W36" s="2">
        <f t="shared" ref="W36:X36" si="33">+W34+W35</f>
        <v>24239</v>
      </c>
      <c r="X36" s="2">
        <f t="shared" si="33"/>
        <v>26842</v>
      </c>
      <c r="Y36" s="2">
        <f t="shared" ref="Y36:AD36" si="34">+Y34+Y35</f>
        <v>30941</v>
      </c>
      <c r="Z36" s="2">
        <f t="shared" si="34"/>
        <v>34462</v>
      </c>
      <c r="AA36" s="2">
        <f t="shared" si="34"/>
        <v>38668</v>
      </c>
      <c r="AB36" s="2">
        <f t="shared" si="34"/>
        <v>43887</v>
      </c>
      <c r="AC36" s="2">
        <f t="shared" si="34"/>
        <v>51345</v>
      </c>
      <c r="AD36" s="2">
        <f t="shared" si="34"/>
        <v>54847</v>
      </c>
      <c r="AE36" s="2">
        <f t="shared" ref="AE36" si="35">+AE34+AE35</f>
        <v>57467</v>
      </c>
    </row>
    <row r="37" spans="2:31" s="4" customFormat="1" x14ac:dyDescent="0.2">
      <c r="B37" s="4" t="s">
        <v>16</v>
      </c>
      <c r="D37" s="5">
        <f t="shared" ref="D37:K37" si="36">+D33-D36</f>
        <v>29979</v>
      </c>
      <c r="E37" s="5">
        <f t="shared" si="36"/>
        <v>23076</v>
      </c>
      <c r="F37" s="5">
        <f t="shared" si="36"/>
        <v>24894</v>
      </c>
      <c r="G37" s="5">
        <f t="shared" si="36"/>
        <v>36016</v>
      </c>
      <c r="H37" s="5">
        <f t="shared" si="36"/>
        <v>28318</v>
      </c>
      <c r="I37" s="5">
        <f t="shared" si="36"/>
        <v>22998</v>
      </c>
      <c r="J37" s="5">
        <f t="shared" si="36"/>
        <v>26969</v>
      </c>
      <c r="K37" s="5">
        <f t="shared" si="36"/>
        <v>40373</v>
      </c>
      <c r="L37" s="5">
        <f t="shared" ref="L37:M37" si="37">+L33-L36</f>
        <v>27900</v>
      </c>
      <c r="M37" s="5">
        <f t="shared" si="37"/>
        <v>25352</v>
      </c>
      <c r="N37" s="5">
        <f t="shared" ref="N37:O37" si="38">+N33-N36</f>
        <v>29591</v>
      </c>
      <c r="O37" s="5">
        <f t="shared" si="38"/>
        <v>42832</v>
      </c>
      <c r="P37" s="5">
        <f t="shared" ref="P37" si="39">+P33-P36</f>
        <v>29589</v>
      </c>
      <c r="Q37" s="5"/>
      <c r="R37" s="5"/>
      <c r="S37" s="5"/>
      <c r="T37" s="5"/>
      <c r="U37" s="5">
        <f t="shared" ref="U37:V37" si="40">+U33-U36</f>
        <v>52503</v>
      </c>
      <c r="V37" s="5">
        <f t="shared" si="40"/>
        <v>71230</v>
      </c>
      <c r="W37" s="5">
        <f t="shared" ref="W37:X37" si="41">+W33-W36</f>
        <v>60024</v>
      </c>
      <c r="X37" s="5">
        <f t="shared" si="41"/>
        <v>61344</v>
      </c>
      <c r="Y37" s="5">
        <f t="shared" ref="Y37:AD37" si="42">+Y33-Y36</f>
        <v>70898</v>
      </c>
      <c r="Z37" s="5">
        <f t="shared" si="42"/>
        <v>63930</v>
      </c>
      <c r="AA37" s="5">
        <f t="shared" si="42"/>
        <v>66288</v>
      </c>
      <c r="AB37" s="5">
        <f t="shared" si="42"/>
        <v>108949</v>
      </c>
      <c r="AC37" s="5">
        <f t="shared" si="42"/>
        <v>119437</v>
      </c>
      <c r="AD37" s="5">
        <f t="shared" si="42"/>
        <v>114301</v>
      </c>
      <c r="AE37" s="5">
        <f t="shared" ref="AE37" si="43">+AE33-AE36</f>
        <v>123216</v>
      </c>
    </row>
    <row r="38" spans="2:31" x14ac:dyDescent="0.2">
      <c r="B38" t="s">
        <v>17</v>
      </c>
      <c r="D38" s="2">
        <v>160</v>
      </c>
      <c r="E38" s="2">
        <v>-10</v>
      </c>
      <c r="F38" s="2">
        <v>-237</v>
      </c>
      <c r="G38" s="2">
        <v>-50</v>
      </c>
      <c r="H38" s="2">
        <v>64</v>
      </c>
      <c r="I38" s="2">
        <v>-265</v>
      </c>
      <c r="J38" s="2">
        <v>29</v>
      </c>
      <c r="K38" s="2">
        <v>-50</v>
      </c>
      <c r="L38" s="2">
        <v>158</v>
      </c>
      <c r="M38" s="2">
        <v>142</v>
      </c>
      <c r="N38" s="2">
        <v>19</v>
      </c>
      <c r="O38" s="2">
        <v>-248</v>
      </c>
      <c r="P38" s="2">
        <v>-279</v>
      </c>
      <c r="Q38" s="2"/>
      <c r="R38" s="2"/>
      <c r="S38" s="2"/>
      <c r="T38" s="2"/>
      <c r="U38" s="2">
        <v>980</v>
      </c>
      <c r="V38" s="2">
        <v>1285</v>
      </c>
      <c r="W38" s="2">
        <v>1348</v>
      </c>
      <c r="X38" s="2">
        <v>2745</v>
      </c>
      <c r="Y38" s="2">
        <v>2005</v>
      </c>
      <c r="Z38" s="2">
        <v>1807</v>
      </c>
      <c r="AA38" s="2">
        <v>803</v>
      </c>
      <c r="AB38" s="2">
        <v>258</v>
      </c>
      <c r="AC38" s="2">
        <v>-334</v>
      </c>
      <c r="AD38" s="2">
        <v>-565</v>
      </c>
      <c r="AE38" s="2">
        <f>+SUM(K38:N38)</f>
        <v>269</v>
      </c>
    </row>
    <row r="39" spans="2:31" x14ac:dyDescent="0.2">
      <c r="B39" t="s">
        <v>97</v>
      </c>
      <c r="D39" s="2">
        <f t="shared" ref="D39:K39" si="44">+D37+D38</f>
        <v>30139</v>
      </c>
      <c r="E39" s="2">
        <f t="shared" si="44"/>
        <v>23066</v>
      </c>
      <c r="F39" s="2">
        <f t="shared" si="44"/>
        <v>24657</v>
      </c>
      <c r="G39" s="2">
        <f t="shared" si="44"/>
        <v>35966</v>
      </c>
      <c r="H39" s="2">
        <f t="shared" si="44"/>
        <v>28382</v>
      </c>
      <c r="I39" s="2">
        <f t="shared" si="44"/>
        <v>22733</v>
      </c>
      <c r="J39" s="2">
        <f t="shared" si="44"/>
        <v>26998</v>
      </c>
      <c r="K39" s="2">
        <f t="shared" si="44"/>
        <v>40323</v>
      </c>
      <c r="L39" s="2">
        <f t="shared" ref="L39:M39" si="45">+L37+L38</f>
        <v>28058</v>
      </c>
      <c r="M39" s="2">
        <f t="shared" si="45"/>
        <v>25494</v>
      </c>
      <c r="N39" s="2">
        <f t="shared" ref="N39:O39" si="46">+N37+N38</f>
        <v>29610</v>
      </c>
      <c r="O39" s="2">
        <f t="shared" si="46"/>
        <v>42584</v>
      </c>
      <c r="P39" s="2">
        <f t="shared" ref="P39" si="47">+P37+P38</f>
        <v>29310</v>
      </c>
      <c r="Q39" s="2"/>
      <c r="R39" s="2"/>
      <c r="S39" s="2"/>
      <c r="T39" s="2"/>
      <c r="U39" s="2">
        <f t="shared" ref="U39:V39" si="48">+U37+U38</f>
        <v>53483</v>
      </c>
      <c r="V39" s="2">
        <f t="shared" si="48"/>
        <v>72515</v>
      </c>
      <c r="W39" s="2">
        <f t="shared" ref="W39:X39" si="49">+W37+W38</f>
        <v>61372</v>
      </c>
      <c r="X39" s="2">
        <f t="shared" si="49"/>
        <v>64089</v>
      </c>
      <c r="Y39" s="2">
        <f t="shared" ref="Y39:AE39" si="50">+Y37+Y38</f>
        <v>72903</v>
      </c>
      <c r="Z39" s="2">
        <f t="shared" si="50"/>
        <v>65737</v>
      </c>
      <c r="AA39" s="2">
        <f t="shared" si="50"/>
        <v>67091</v>
      </c>
      <c r="AB39" s="2">
        <f t="shared" si="50"/>
        <v>109207</v>
      </c>
      <c r="AC39" s="2">
        <f t="shared" si="50"/>
        <v>119103</v>
      </c>
      <c r="AD39" s="2">
        <f t="shared" si="50"/>
        <v>113736</v>
      </c>
      <c r="AE39" s="2">
        <f t="shared" si="50"/>
        <v>123485</v>
      </c>
    </row>
    <row r="40" spans="2:31" x14ac:dyDescent="0.2">
      <c r="B40" t="s">
        <v>18</v>
      </c>
      <c r="D40" s="2">
        <v>5129</v>
      </c>
      <c r="E40" s="2">
        <v>3624</v>
      </c>
      <c r="F40" s="2">
        <v>3936</v>
      </c>
      <c r="G40" s="2">
        <v>6407</v>
      </c>
      <c r="H40" s="2">
        <v>4222</v>
      </c>
      <c r="I40" s="2">
        <v>2852</v>
      </c>
      <c r="J40" s="2">
        <v>4042</v>
      </c>
      <c r="K40" s="2">
        <v>6407</v>
      </c>
      <c r="L40" s="2">
        <v>4422</v>
      </c>
      <c r="M40" s="2">
        <v>4046</v>
      </c>
      <c r="N40" s="2">
        <v>14874</v>
      </c>
      <c r="O40" s="2">
        <v>6254</v>
      </c>
      <c r="P40" s="2">
        <v>4530</v>
      </c>
      <c r="Q40" s="2"/>
      <c r="R40" s="2"/>
      <c r="S40" s="2"/>
      <c r="T40" s="2"/>
      <c r="U40" s="2">
        <v>13973</v>
      </c>
      <c r="V40" s="2">
        <v>19121</v>
      </c>
      <c r="W40" s="2">
        <v>15685</v>
      </c>
      <c r="X40" s="2">
        <v>15738</v>
      </c>
      <c r="Y40" s="2">
        <v>13372</v>
      </c>
      <c r="Z40" s="2">
        <v>10481</v>
      </c>
      <c r="AA40" s="2">
        <v>9680</v>
      </c>
      <c r="AB40" s="2">
        <v>14527</v>
      </c>
      <c r="AC40" s="2">
        <v>19300</v>
      </c>
      <c r="AD40" s="2">
        <v>16741</v>
      </c>
      <c r="AE40" s="2">
        <f>+SUM(K40:N40)</f>
        <v>29749</v>
      </c>
    </row>
    <row r="41" spans="2:31" s="4" customFormat="1" x14ac:dyDescent="0.2">
      <c r="B41" s="4" t="s">
        <v>19</v>
      </c>
      <c r="D41" s="5">
        <f t="shared" ref="D41:K41" si="51">+D39-D40</f>
        <v>25010</v>
      </c>
      <c r="E41" s="5">
        <f t="shared" si="51"/>
        <v>19442</v>
      </c>
      <c r="F41" s="5">
        <f t="shared" si="51"/>
        <v>20721</v>
      </c>
      <c r="G41" s="5">
        <f t="shared" si="51"/>
        <v>29559</v>
      </c>
      <c r="H41" s="5">
        <f t="shared" si="51"/>
        <v>24160</v>
      </c>
      <c r="I41" s="5">
        <f t="shared" si="51"/>
        <v>19881</v>
      </c>
      <c r="J41" s="5">
        <f t="shared" si="51"/>
        <v>22956</v>
      </c>
      <c r="K41" s="5">
        <f t="shared" si="51"/>
        <v>33916</v>
      </c>
      <c r="L41" s="5">
        <f t="shared" ref="L41:M41" si="52">+L39-L40</f>
        <v>23636</v>
      </c>
      <c r="M41" s="5">
        <f t="shared" si="52"/>
        <v>21448</v>
      </c>
      <c r="N41" s="5">
        <f t="shared" ref="N41:O41" si="53">+N39-N40</f>
        <v>14736</v>
      </c>
      <c r="O41" s="5">
        <f t="shared" si="53"/>
        <v>36330</v>
      </c>
      <c r="P41" s="5">
        <f t="shared" ref="P41" si="54">+P39-P40</f>
        <v>24780</v>
      </c>
      <c r="Q41" s="5"/>
      <c r="R41" s="5"/>
      <c r="S41" s="5"/>
      <c r="T41" s="5"/>
      <c r="U41" s="5">
        <f t="shared" ref="U41:V41" si="55">+U39-U40</f>
        <v>39510</v>
      </c>
      <c r="V41" s="5">
        <f t="shared" si="55"/>
        <v>53394</v>
      </c>
      <c r="W41" s="5">
        <f t="shared" ref="W41:X41" si="56">+W39-W40</f>
        <v>45687</v>
      </c>
      <c r="X41" s="5">
        <f t="shared" si="56"/>
        <v>48351</v>
      </c>
      <c r="Y41" s="5">
        <f t="shared" ref="Y41:AE41" si="57">+Y39-Y40</f>
        <v>59531</v>
      </c>
      <c r="Z41" s="5">
        <f t="shared" si="57"/>
        <v>55256</v>
      </c>
      <c r="AA41" s="5">
        <f t="shared" si="57"/>
        <v>57411</v>
      </c>
      <c r="AB41" s="5">
        <f t="shared" si="57"/>
        <v>94680</v>
      </c>
      <c r="AC41" s="5">
        <f t="shared" si="57"/>
        <v>99803</v>
      </c>
      <c r="AD41" s="5">
        <f t="shared" si="57"/>
        <v>96995</v>
      </c>
      <c r="AE41" s="5">
        <f t="shared" si="57"/>
        <v>93736</v>
      </c>
    </row>
    <row r="42" spans="2:31" x14ac:dyDescent="0.2">
      <c r="B42" t="s">
        <v>20</v>
      </c>
      <c r="D42" s="6">
        <f t="shared" ref="D42:K42" si="58">+D41/D43</f>
        <v>1.5246917147727936</v>
      </c>
      <c r="E42" s="6">
        <f t="shared" si="58"/>
        <v>1.1955329791418789</v>
      </c>
      <c r="F42" s="6">
        <f t="shared" si="58"/>
        <v>1.2855442500262897</v>
      </c>
      <c r="G42" s="6">
        <f t="shared" si="58"/>
        <v>1.8976491786643861</v>
      </c>
      <c r="H42" s="6">
        <f t="shared" si="58"/>
        <v>1.5245739743359175</v>
      </c>
      <c r="I42" s="6">
        <f t="shared" si="58"/>
        <v>1.2602835837746269</v>
      </c>
      <c r="J42" s="6">
        <f t="shared" si="58"/>
        <v>1.4647405630279984</v>
      </c>
      <c r="K42" s="6">
        <f t="shared" si="58"/>
        <v>2.1773628858750742</v>
      </c>
      <c r="L42" s="6">
        <f t="shared" ref="L42:M42" si="59">+L41/L43</f>
        <v>1.5283831076291186</v>
      </c>
      <c r="M42" s="6">
        <f t="shared" si="59"/>
        <v>1.3974299876043894</v>
      </c>
      <c r="N42" s="6">
        <f t="shared" ref="N42:O42" si="60">+N41/N43</f>
        <v>0.96674815403651804</v>
      </c>
      <c r="O42" s="6">
        <f t="shared" si="60"/>
        <v>2.3978828931549452</v>
      </c>
      <c r="P42" s="6">
        <f t="shared" ref="P42" si="61">+P41/P43</f>
        <v>1.6458409340565736</v>
      </c>
      <c r="Q42" s="6"/>
      <c r="R42" s="6"/>
      <c r="S42" s="6"/>
      <c r="T42" s="6"/>
      <c r="U42" s="6">
        <f t="shared" ref="U42:V42" si="62">+U41/U43</f>
        <v>6.4530744220284548</v>
      </c>
      <c r="V42" s="6">
        <f t="shared" si="62"/>
        <v>9.216876236067618</v>
      </c>
      <c r="W42" s="6">
        <f t="shared" ref="W42:X42" si="63">+W41/W43</f>
        <v>8.3063028961611227</v>
      </c>
      <c r="X42" s="6">
        <f t="shared" si="63"/>
        <v>9.2067470826545037</v>
      </c>
      <c r="Y42" s="6">
        <f t="shared" ref="Y42:AE42" si="64">+Y41/Y43</f>
        <v>11.905940450498179</v>
      </c>
      <c r="Z42" s="6">
        <f t="shared" si="64"/>
        <v>11.885789215672569</v>
      </c>
      <c r="AA42" s="6">
        <f t="shared" si="64"/>
        <v>3.2753479618630856</v>
      </c>
      <c r="AB42" s="6">
        <f t="shared" si="64"/>
        <v>5.6140204408927188</v>
      </c>
      <c r="AC42" s="6">
        <f t="shared" si="64"/>
        <v>6.1132002014722815</v>
      </c>
      <c r="AD42" s="6">
        <f t="shared" si="64"/>
        <v>6.1340529138031972</v>
      </c>
      <c r="AE42" s="6">
        <f t="shared" si="64"/>
        <v>6.0835556272062066</v>
      </c>
    </row>
    <row r="43" spans="2:31" x14ac:dyDescent="0.2">
      <c r="B43" t="s">
        <v>3</v>
      </c>
      <c r="D43" s="2">
        <v>16403.315999999999</v>
      </c>
      <c r="E43" s="2">
        <v>16262.203</v>
      </c>
      <c r="F43" s="2">
        <v>16118.465</v>
      </c>
      <c r="G43" s="2">
        <v>15576.641</v>
      </c>
      <c r="H43" s="2">
        <v>15847.05</v>
      </c>
      <c r="I43" s="2">
        <v>15775.021000000001</v>
      </c>
      <c r="J43" s="2">
        <v>15672.4</v>
      </c>
      <c r="K43" s="2">
        <v>15576.641</v>
      </c>
      <c r="L43" s="2">
        <v>15464.709000000001</v>
      </c>
      <c r="M43" s="2">
        <v>15348.174999999999</v>
      </c>
      <c r="N43" s="2">
        <v>15242.852999999999</v>
      </c>
      <c r="O43" s="2">
        <v>15150.865</v>
      </c>
      <c r="P43" s="2">
        <v>15056.133</v>
      </c>
      <c r="Q43" s="2"/>
      <c r="R43" s="2"/>
      <c r="S43" s="2"/>
      <c r="T43" s="2"/>
      <c r="U43" s="2">
        <v>6122.6629999999996</v>
      </c>
      <c r="V43" s="2">
        <v>5793.0690000000004</v>
      </c>
      <c r="W43" s="2">
        <v>5500.2809999999999</v>
      </c>
      <c r="X43" s="2">
        <v>5251.692</v>
      </c>
      <c r="Y43" s="2">
        <v>5000.1090000000004</v>
      </c>
      <c r="Z43" s="2">
        <v>4648.9129999999996</v>
      </c>
      <c r="AA43" s="2">
        <v>17528.214</v>
      </c>
      <c r="AB43" s="2">
        <v>16864.919000000002</v>
      </c>
      <c r="AC43" s="2">
        <v>16325.819</v>
      </c>
      <c r="AD43" s="2">
        <v>15812.547</v>
      </c>
      <c r="AE43" s="2">
        <f>+AVERAGE(K43:N43)</f>
        <v>15408.094499999999</v>
      </c>
    </row>
    <row r="44" spans="2:31" x14ac:dyDescent="0.2"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2:31" s="7" customFormat="1" x14ac:dyDescent="0.2">
      <c r="B45" s="7" t="s">
        <v>21</v>
      </c>
      <c r="D45" s="7">
        <f>+D33/D29</f>
        <v>0.43749871502292398</v>
      </c>
      <c r="E45" s="7">
        <f>+E33/E29</f>
        <v>0.43256307332537758</v>
      </c>
      <c r="F45" s="7">
        <f>+F33/F29</f>
        <v>0.4225922392563175</v>
      </c>
      <c r="G45" s="7">
        <f>+G33/G29</f>
        <v>0.42962254809908323</v>
      </c>
      <c r="H45" s="7">
        <f>+H33/H29</f>
        <v>0.44261672782487665</v>
      </c>
      <c r="I45" s="7">
        <f>+I33/I29</f>
        <v>0.44516302553883397</v>
      </c>
      <c r="J45" s="7">
        <f>+J33/J29</f>
        <v>0.45170841806520817</v>
      </c>
      <c r="K45" s="7">
        <f>+K33/K29</f>
        <v>0.45874973865774621</v>
      </c>
      <c r="L45" s="7">
        <f>+L33/L29</f>
        <v>0.46578074554009236</v>
      </c>
      <c r="M45" s="7">
        <f>+M33/M29</f>
        <v>0.46257155181458898</v>
      </c>
      <c r="N45" s="7">
        <f>+N33/N29</f>
        <v>0.4622247972190035</v>
      </c>
      <c r="O45" s="7">
        <f>+O33/O29</f>
        <v>0.46882542236524538</v>
      </c>
      <c r="P45" s="7">
        <f>+P33/P29</f>
        <v>0.47050619238876246</v>
      </c>
      <c r="U45" s="7">
        <f>+U33/U29</f>
        <v>0.38588035777783858</v>
      </c>
      <c r="V45" s="7">
        <f>+V33/V29</f>
        <v>0.40059902017414373</v>
      </c>
      <c r="W45" s="7">
        <f>+W33/W29</f>
        <v>0.39075955648097049</v>
      </c>
      <c r="X45" s="7">
        <f>+X33/X29</f>
        <v>0.38469860491899105</v>
      </c>
      <c r="Y45" s="7">
        <f>+Y33/Y29</f>
        <v>0.38343718820007905</v>
      </c>
      <c r="Z45" s="7">
        <f>+Z33/Z29</f>
        <v>0.37817768109034722</v>
      </c>
      <c r="AA45" s="7">
        <f>+AA33/AA29</f>
        <v>0.38233247727810865</v>
      </c>
      <c r="AB45" s="7">
        <f>+AB33/AB29</f>
        <v>0.41779359625167778</v>
      </c>
      <c r="AC45" s="7">
        <f>+AC33/AC29</f>
        <v>0.43309630561360085</v>
      </c>
      <c r="AD45" s="7">
        <f>+AD33/AD29</f>
        <v>0.44131129577207562</v>
      </c>
      <c r="AE45" s="7">
        <f>+AE33/AE29</f>
        <v>0.46206349815233932</v>
      </c>
    </row>
    <row r="46" spans="2:31" s="7" customFormat="1" x14ac:dyDescent="0.2">
      <c r="B46" s="7" t="s">
        <v>22</v>
      </c>
      <c r="D46" s="7">
        <f>+D37/D29</f>
        <v>0.30817862209338187</v>
      </c>
      <c r="E46" s="7">
        <f>+E37/E29</f>
        <v>0.27816150146457891</v>
      </c>
      <c r="F46" s="7">
        <f>+F37/F29</f>
        <v>0.27615202005635303</v>
      </c>
      <c r="G46" s="7">
        <f>+G37/G29</f>
        <v>0.30742441572630896</v>
      </c>
      <c r="H46" s="7">
        <f>+H37/H29</f>
        <v>0.29859968788223878</v>
      </c>
      <c r="I46" s="7">
        <f>+I37/I29</f>
        <v>0.28115945572576012</v>
      </c>
      <c r="J46" s="7">
        <f>+J37/J29</f>
        <v>0.30133634271156895</v>
      </c>
      <c r="K46" s="7">
        <f>+K37/K29</f>
        <v>0.33763746602550698</v>
      </c>
      <c r="L46" s="7">
        <f>+L37/L29</f>
        <v>0.30742785362467356</v>
      </c>
      <c r="M46" s="7">
        <f>+M37/M29</f>
        <v>0.29555708406682446</v>
      </c>
      <c r="N46" s="7">
        <f>+N37/N29</f>
        <v>0.31171389444854103</v>
      </c>
      <c r="O46" s="7">
        <f>+O37/O29</f>
        <v>0.34458567980691873</v>
      </c>
      <c r="P46" s="7">
        <f>+P37/P29</f>
        <v>0.31029058610094484</v>
      </c>
      <c r="U46" s="7">
        <f>+U37/U29</f>
        <v>0.28722339232473537</v>
      </c>
      <c r="V46" s="7">
        <f>+V37/V29</f>
        <v>0.30477290717326661</v>
      </c>
      <c r="W46" s="7">
        <f>+W37/W29</f>
        <v>0.27835410106706115</v>
      </c>
      <c r="X46" s="7">
        <f>+X37/X29</f>
        <v>0.26760428208729942</v>
      </c>
      <c r="Y46" s="7">
        <f>+Y37/Y29</f>
        <v>0.26694026619477024</v>
      </c>
      <c r="Z46" s="7">
        <f>+Z37/Z29</f>
        <v>0.24572017188496928</v>
      </c>
      <c r="AA46" s="7">
        <f>+AA37/AA29</f>
        <v>0.24147314354406862</v>
      </c>
      <c r="AB46" s="7">
        <f>+AB37/AB29</f>
        <v>0.29782377527561593</v>
      </c>
      <c r="AC46" s="7">
        <f>+AC37/AC29</f>
        <v>0.30288744395528594</v>
      </c>
      <c r="AD46" s="7">
        <f>+AD37/AD29</f>
        <v>0.29821412265024722</v>
      </c>
      <c r="AE46" s="7">
        <f>+AE37/AE29</f>
        <v>0.31510222870075566</v>
      </c>
    </row>
    <row r="47" spans="2:31" s="7" customFormat="1" x14ac:dyDescent="0.2">
      <c r="B47" s="7" t="s">
        <v>23</v>
      </c>
      <c r="D47" s="7">
        <f>+D41/D29</f>
        <v>0.25709821336787353</v>
      </c>
      <c r="E47" s="7">
        <f>+E41/E29</f>
        <v>0.23435673043310551</v>
      </c>
      <c r="F47" s="7">
        <f>+F41/F29</f>
        <v>0.22986044860559537</v>
      </c>
      <c r="G47" s="7">
        <f>+G41/G29</f>
        <v>0.25230892671184935</v>
      </c>
      <c r="H47" s="7">
        <f>+H41/H29</f>
        <v>0.25475557805052934</v>
      </c>
      <c r="I47" s="7">
        <f>+I41/I29</f>
        <v>0.24305292370135825</v>
      </c>
      <c r="J47" s="7">
        <f>+J41/J29</f>
        <v>0.25649735189613176</v>
      </c>
      <c r="K47" s="7">
        <f>+K41/K29</f>
        <v>0.28363788417311309</v>
      </c>
      <c r="L47" s="7">
        <f>+L41/L29</f>
        <v>0.26044318094167684</v>
      </c>
      <c r="M47" s="7">
        <f>+M41/M29</f>
        <v>0.25004371801298714</v>
      </c>
      <c r="N47" s="7">
        <f>+N41/N29</f>
        <v>0.15523016959865163</v>
      </c>
      <c r="O47" s="7">
        <f>+O41/O29</f>
        <v>0.29227674979887369</v>
      </c>
      <c r="P47" s="7">
        <f>+P41/P29</f>
        <v>0.25986010759341016</v>
      </c>
      <c r="U47" s="7">
        <f>+U41/U29</f>
        <v>0.21614376760852322</v>
      </c>
      <c r="V47" s="7">
        <f>+V41/V29</f>
        <v>0.22845773698735639</v>
      </c>
      <c r="W47" s="7">
        <f>+W41/W29</f>
        <v>0.211867983064288</v>
      </c>
      <c r="X47" s="7">
        <f>+X41/X29</f>
        <v>0.21092420845075338</v>
      </c>
      <c r="Y47" s="7">
        <f>+Y41/Y29</f>
        <v>0.22414202074587247</v>
      </c>
      <c r="Z47" s="7">
        <f>+Z41/Z29</f>
        <v>0.21238094505984456</v>
      </c>
      <c r="AA47" s="7">
        <f>+AA41/AA29</f>
        <v>0.20913611278072236</v>
      </c>
      <c r="AB47" s="7">
        <f>+AB41/AB29</f>
        <v>0.25881793355694238</v>
      </c>
      <c r="AC47" s="7">
        <f>+AC41/AC29</f>
        <v>0.25309640705199732</v>
      </c>
      <c r="AD47" s="7">
        <f>+AD41/AD29</f>
        <v>0.25306234264320282</v>
      </c>
      <c r="AE47" s="7">
        <f>+AE41/AE29</f>
        <v>0.23971255769943867</v>
      </c>
    </row>
    <row r="48" spans="2:31" s="7" customFormat="1" x14ac:dyDescent="0.2">
      <c r="B48" s="7" t="s">
        <v>24</v>
      </c>
      <c r="D48" s="7">
        <f>+D40/D39</f>
        <v>0.17017817445834302</v>
      </c>
      <c r="E48" s="7">
        <f>+E40/E39</f>
        <v>0.15711436746726784</v>
      </c>
      <c r="F48" s="7">
        <f>+F40/F39</f>
        <v>0.15963012531938192</v>
      </c>
      <c r="G48" s="7">
        <f>+G40/G39</f>
        <v>0.17814046599566258</v>
      </c>
      <c r="H48" s="7">
        <f>+H40/H39</f>
        <v>0.14875625396377987</v>
      </c>
      <c r="I48" s="7">
        <f>+I40/I39</f>
        <v>0.12545638499098227</v>
      </c>
      <c r="J48" s="7">
        <f>+J40/J39</f>
        <v>0.14971479368842136</v>
      </c>
      <c r="K48" s="7">
        <f>+K40/K39</f>
        <v>0.15889194752374575</v>
      </c>
      <c r="L48" s="7">
        <f>+L40/L39</f>
        <v>0.1576021099151757</v>
      </c>
      <c r="M48" s="7">
        <f>+M40/M39</f>
        <v>0.15870400878638111</v>
      </c>
      <c r="N48" s="7">
        <f>+N40/N39</f>
        <v>0.50233029381965555</v>
      </c>
      <c r="O48" s="7">
        <f>+O40/O39</f>
        <v>0.14686267142588766</v>
      </c>
      <c r="P48" s="7">
        <f>+P40/P39</f>
        <v>0.15455475946775846</v>
      </c>
      <c r="U48" s="7">
        <f>+U40/U39</f>
        <v>0.26126058747639436</v>
      </c>
      <c r="V48" s="7">
        <f>+V40/V39</f>
        <v>0.26368337585327173</v>
      </c>
      <c r="W48" s="7">
        <f>+W40/W39</f>
        <v>0.25557257381216192</v>
      </c>
      <c r="X48" s="7">
        <f>+X40/X39</f>
        <v>0.24556476150353415</v>
      </c>
      <c r="Y48" s="7">
        <f>+Y40/Y39</f>
        <v>0.18342180705869443</v>
      </c>
      <c r="Z48" s="7">
        <f>+Z40/Z39</f>
        <v>0.15943836804235059</v>
      </c>
      <c r="AA48" s="7">
        <f>+AA40/AA39</f>
        <v>0.14428164731484103</v>
      </c>
      <c r="AB48" s="7">
        <f>+AB40/AB39</f>
        <v>0.13302260844085087</v>
      </c>
      <c r="AC48" s="7">
        <f>+AC40/AC39</f>
        <v>0.16204461684424407</v>
      </c>
      <c r="AD48" s="7">
        <f>+AD40/AD39</f>
        <v>0.14719174228036858</v>
      </c>
      <c r="AE48" s="7">
        <f>+AE40/AE39</f>
        <v>0.24091185164189982</v>
      </c>
    </row>
    <row r="49" spans="2:31" x14ac:dyDescent="0.2"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AC49" s="2"/>
      <c r="AD49" s="2"/>
      <c r="AE49" s="2"/>
    </row>
    <row r="50" spans="2:31" s="8" customFormat="1" x14ac:dyDescent="0.2">
      <c r="B50" s="8" t="s">
        <v>25</v>
      </c>
      <c r="H50" s="8">
        <f>+H29/D29-1</f>
        <v>-2.5103312156911084E-2</v>
      </c>
      <c r="I50" s="8">
        <f>+I29/E29-1</f>
        <v>-1.4006919080509661E-2</v>
      </c>
      <c r="J50" s="8">
        <f>+J29/F29-1</f>
        <v>-7.1883389168682088E-3</v>
      </c>
      <c r="K50" s="8">
        <f>+K29/G29-1</f>
        <v>2.0665107465387411E-2</v>
      </c>
      <c r="L50" s="8">
        <f>+L29/H29-1</f>
        <v>-4.3053270909781061E-2</v>
      </c>
      <c r="M50" s="8">
        <f>+M29/I29-1</f>
        <v>4.8657041211780383E-2</v>
      </c>
      <c r="N50" s="8">
        <f>+N29/J29-1</f>
        <v>6.0694093722764686E-2</v>
      </c>
      <c r="O50" s="8">
        <f>+O29/K29-1</f>
        <v>3.9514948776918191E-2</v>
      </c>
      <c r="P50" s="8">
        <f>+P29/L29-1</f>
        <v>5.075314314678292E-2</v>
      </c>
      <c r="V50" s="8">
        <f>+V29/U29-1</f>
        <v>0.27856341803659834</v>
      </c>
      <c r="W50" s="8">
        <f>+W29/V29-1</f>
        <v>-7.7342061913013738E-2</v>
      </c>
      <c r="X50" s="8">
        <f>+X29/W29-1</f>
        <v>6.304518199398057E-2</v>
      </c>
      <c r="Y50" s="8">
        <f>+Y29/X29-1</f>
        <v>0.15861957650261305</v>
      </c>
      <c r="Z50" s="8">
        <f>+Z29/Y29-1</f>
        <v>-2.04107758052674E-2</v>
      </c>
      <c r="AA50" s="8">
        <f>+AA29/Z29-1</f>
        <v>5.5120803769784787E-2</v>
      </c>
      <c r="AB50" s="8">
        <f>+AB29/AA29-1</f>
        <v>0.33259384733074704</v>
      </c>
      <c r="AC50" s="8">
        <f>+AC29/AB29-1</f>
        <v>7.7937876041846099E-2</v>
      </c>
      <c r="AD50" s="8">
        <f>+AD29/AC29-1</f>
        <v>-2.800460530319937E-2</v>
      </c>
      <c r="AE50" s="8">
        <f>+AE29/AD29-1</f>
        <v>2.021994077514111E-2</v>
      </c>
    </row>
    <row r="52" spans="2:31" x14ac:dyDescent="0.2">
      <c r="B52" t="s">
        <v>26</v>
      </c>
      <c r="F52" s="2">
        <f>+F53-F64</f>
        <v>49040</v>
      </c>
      <c r="H52" s="2">
        <f t="shared" ref="H52:O52" si="65">+H53-H64</f>
        <v>56718</v>
      </c>
      <c r="I52" s="2">
        <f t="shared" si="65"/>
        <v>57263</v>
      </c>
      <c r="J52" s="2">
        <f t="shared" si="65"/>
        <v>51011</v>
      </c>
      <c r="K52" s="2">
        <f t="shared" si="65"/>
        <v>64535</v>
      </c>
      <c r="L52" s="2">
        <f t="shared" si="65"/>
        <v>57747</v>
      </c>
      <c r="M52" s="2">
        <f t="shared" si="65"/>
        <v>51737</v>
      </c>
      <c r="N52" s="2">
        <f t="shared" si="65"/>
        <v>50021</v>
      </c>
      <c r="O52" s="2">
        <f t="shared" si="65"/>
        <v>44569</v>
      </c>
      <c r="P52" s="2">
        <f t="shared" ref="P52" si="66">+P53-P64</f>
        <v>34736</v>
      </c>
      <c r="AD52" s="2"/>
      <c r="AE52" s="2">
        <f>+O52</f>
        <v>44569</v>
      </c>
    </row>
    <row r="53" spans="2:31" x14ac:dyDescent="0.2">
      <c r="B53" t="s">
        <v>5</v>
      </c>
      <c r="F53" s="2">
        <f>23646+24658+120805</f>
        <v>169109</v>
      </c>
      <c r="H53" s="2">
        <f>24687+31185+110461</f>
        <v>166333</v>
      </c>
      <c r="I53" s="2">
        <f>28408+34074+104061</f>
        <v>166543</v>
      </c>
      <c r="J53" s="2">
        <f>29965+31590+100544</f>
        <v>162099</v>
      </c>
      <c r="K53" s="2">
        <f>40760+32340+99475</f>
        <v>172575</v>
      </c>
      <c r="L53" s="2">
        <f>32695+34455+95187</f>
        <v>162337</v>
      </c>
      <c r="M53" s="2">
        <f>25565+36236+91240</f>
        <v>153041</v>
      </c>
      <c r="N53" s="2">
        <f>29943+35228+91479</f>
        <v>156650</v>
      </c>
      <c r="O53" s="2">
        <f>30299+23476+87593</f>
        <v>141368</v>
      </c>
      <c r="P53" s="2">
        <f>28162+20336+84424</f>
        <v>132922</v>
      </c>
    </row>
    <row r="54" spans="2:31" x14ac:dyDescent="0.2">
      <c r="B54" t="s">
        <v>27</v>
      </c>
      <c r="F54" s="2">
        <v>28184</v>
      </c>
      <c r="H54" s="2">
        <v>17936</v>
      </c>
      <c r="I54" s="2">
        <v>19549</v>
      </c>
      <c r="J54" s="2">
        <v>29508</v>
      </c>
      <c r="K54" s="2">
        <v>23194</v>
      </c>
      <c r="L54" s="2">
        <v>21837</v>
      </c>
      <c r="M54" s="2">
        <v>22795</v>
      </c>
      <c r="N54" s="2">
        <v>33410</v>
      </c>
      <c r="O54" s="2">
        <v>29639</v>
      </c>
      <c r="P54" s="2">
        <v>26136</v>
      </c>
    </row>
    <row r="55" spans="2:31" x14ac:dyDescent="0.2">
      <c r="B55" t="s">
        <v>28</v>
      </c>
      <c r="F55" s="2">
        <v>32748</v>
      </c>
      <c r="H55" s="2">
        <v>17963</v>
      </c>
      <c r="I55" s="2">
        <v>19637</v>
      </c>
      <c r="J55" s="2">
        <v>31477</v>
      </c>
      <c r="K55" s="2">
        <v>26908</v>
      </c>
      <c r="L55" s="2">
        <v>19313</v>
      </c>
      <c r="M55" s="2">
        <v>20377</v>
      </c>
      <c r="N55" s="2">
        <v>32833</v>
      </c>
      <c r="O55" s="2">
        <v>29667</v>
      </c>
      <c r="P55" s="2">
        <v>23662</v>
      </c>
    </row>
    <row r="56" spans="2:31" x14ac:dyDescent="0.2">
      <c r="B56" t="s">
        <v>29</v>
      </c>
      <c r="F56" s="2">
        <v>4946</v>
      </c>
      <c r="H56" s="2">
        <v>7482</v>
      </c>
      <c r="I56" s="2">
        <v>7351</v>
      </c>
      <c r="J56" s="2">
        <v>6331</v>
      </c>
      <c r="K56" s="2">
        <v>6511</v>
      </c>
      <c r="L56" s="2">
        <v>6232</v>
      </c>
      <c r="M56" s="2">
        <v>6165</v>
      </c>
      <c r="N56" s="2">
        <v>7286</v>
      </c>
      <c r="O56" s="2">
        <v>6911</v>
      </c>
      <c r="P56" s="2">
        <v>6269</v>
      </c>
    </row>
    <row r="57" spans="2:31" x14ac:dyDescent="0.2">
      <c r="B57" t="s">
        <v>83</v>
      </c>
      <c r="F57" s="2">
        <f>21223</f>
        <v>21223</v>
      </c>
      <c r="H57" s="2">
        <f>13660</f>
        <v>13660</v>
      </c>
      <c r="I57" s="2">
        <f>13640</f>
        <v>13640</v>
      </c>
      <c r="J57" s="2">
        <f>14695</f>
        <v>14695</v>
      </c>
      <c r="K57" s="2">
        <f>13979</f>
        <v>13979</v>
      </c>
      <c r="L57" s="2">
        <v>13884</v>
      </c>
      <c r="M57" s="2">
        <v>14297</v>
      </c>
      <c r="N57" s="2">
        <v>14287</v>
      </c>
      <c r="O57" s="2">
        <v>13248</v>
      </c>
      <c r="P57" s="2">
        <v>14109</v>
      </c>
    </row>
    <row r="58" spans="2:31" x14ac:dyDescent="0.2">
      <c r="B58" t="s">
        <v>31</v>
      </c>
      <c r="F58" s="2">
        <v>42117</v>
      </c>
      <c r="H58" s="2">
        <v>43398</v>
      </c>
      <c r="I58" s="2">
        <v>43550</v>
      </c>
      <c r="J58" s="2">
        <v>43715</v>
      </c>
      <c r="K58" s="2">
        <v>43666</v>
      </c>
      <c r="L58" s="2">
        <v>43546</v>
      </c>
      <c r="M58" s="2">
        <v>44502</v>
      </c>
      <c r="N58" s="2">
        <v>45680</v>
      </c>
      <c r="O58" s="2">
        <v>46069</v>
      </c>
      <c r="P58" s="2">
        <v>46876</v>
      </c>
    </row>
    <row r="59" spans="2:31" x14ac:dyDescent="0.2">
      <c r="B59" t="s">
        <v>84</v>
      </c>
      <c r="F59" s="2">
        <v>54428</v>
      </c>
      <c r="H59" s="2">
        <v>65388</v>
      </c>
      <c r="I59" s="2">
        <v>64768</v>
      </c>
      <c r="J59" s="2">
        <v>64758</v>
      </c>
      <c r="K59" s="2">
        <v>66681</v>
      </c>
      <c r="L59" s="2">
        <v>70262</v>
      </c>
      <c r="M59" s="2">
        <v>70435</v>
      </c>
      <c r="N59" s="2">
        <v>74834</v>
      </c>
      <c r="O59" s="2">
        <v>77183</v>
      </c>
      <c r="P59" s="2">
        <v>81259</v>
      </c>
    </row>
    <row r="60" spans="2:31" s="4" customFormat="1" x14ac:dyDescent="0.2">
      <c r="B60" s="4" t="s">
        <v>32</v>
      </c>
      <c r="D60" s="5"/>
      <c r="E60" s="5"/>
      <c r="F60" s="5">
        <f t="shared" ref="F60:J60" si="67">SUM(F53:F59)</f>
        <v>352755</v>
      </c>
      <c r="G60" s="5">
        <f t="shared" si="67"/>
        <v>0</v>
      </c>
      <c r="H60" s="5">
        <f t="shared" si="67"/>
        <v>332160</v>
      </c>
      <c r="I60" s="5">
        <f t="shared" si="67"/>
        <v>335038</v>
      </c>
      <c r="J60" s="5">
        <f t="shared" si="67"/>
        <v>352583</v>
      </c>
      <c r="K60" s="5">
        <f>SUM(K53:K59)</f>
        <v>353514</v>
      </c>
      <c r="L60" s="5">
        <f>SUM(L53:L59)</f>
        <v>337411</v>
      </c>
      <c r="M60" s="5">
        <f>SUM(M53:M59)</f>
        <v>331612</v>
      </c>
      <c r="N60" s="5">
        <f>SUM(N53:N59)</f>
        <v>364980</v>
      </c>
      <c r="O60" s="5">
        <f>SUM(O53:O59)</f>
        <v>344085</v>
      </c>
      <c r="P60" s="5">
        <f>SUM(P53:P59)</f>
        <v>331233</v>
      </c>
    </row>
    <row r="61" spans="2:31" x14ac:dyDescent="0.2">
      <c r="B61" t="s">
        <v>33</v>
      </c>
      <c r="F61" s="2">
        <v>64115</v>
      </c>
      <c r="H61" s="2">
        <v>42945</v>
      </c>
      <c r="I61" s="2">
        <v>46699</v>
      </c>
      <c r="J61" s="2">
        <v>62611</v>
      </c>
      <c r="K61" s="2">
        <v>58146</v>
      </c>
      <c r="L61" s="2">
        <v>45753</v>
      </c>
      <c r="M61" s="2">
        <v>47574</v>
      </c>
      <c r="N61" s="2">
        <v>68960</v>
      </c>
      <c r="O61" s="2">
        <v>61910</v>
      </c>
      <c r="P61" s="2">
        <v>54126</v>
      </c>
    </row>
    <row r="62" spans="2:31" x14ac:dyDescent="0.2">
      <c r="B62" t="s">
        <v>85</v>
      </c>
      <c r="F62" s="2">
        <f>60845</f>
        <v>60845</v>
      </c>
      <c r="H62" s="2">
        <f>56425</f>
        <v>56425</v>
      </c>
      <c r="I62" s="2">
        <f>58897</f>
        <v>58897</v>
      </c>
      <c r="J62" s="2">
        <f>58829</f>
        <v>58829</v>
      </c>
      <c r="K62" s="2">
        <f>54611</f>
        <v>54611</v>
      </c>
      <c r="L62" s="2">
        <v>57298</v>
      </c>
      <c r="M62" s="2">
        <v>60889</v>
      </c>
      <c r="N62" s="2">
        <v>78304</v>
      </c>
      <c r="O62" s="2">
        <v>61151</v>
      </c>
      <c r="P62" s="2">
        <v>61849</v>
      </c>
    </row>
    <row r="63" spans="2:31" x14ac:dyDescent="0.2">
      <c r="B63" t="s">
        <v>34</v>
      </c>
      <c r="F63" s="2">
        <v>7912</v>
      </c>
      <c r="H63" s="2">
        <v>8131</v>
      </c>
      <c r="I63" s="2">
        <v>8158</v>
      </c>
      <c r="J63" s="2">
        <v>8061</v>
      </c>
      <c r="K63" s="2">
        <v>8264</v>
      </c>
      <c r="L63" s="2">
        <v>8012</v>
      </c>
      <c r="M63" s="2">
        <v>8053</v>
      </c>
      <c r="N63" s="2">
        <v>8249</v>
      </c>
      <c r="O63" s="2">
        <v>8461</v>
      </c>
      <c r="P63" s="2">
        <v>8976</v>
      </c>
    </row>
    <row r="64" spans="2:31" x14ac:dyDescent="0.2">
      <c r="B64" t="s">
        <v>6</v>
      </c>
      <c r="F64" s="2">
        <f>9982+11128+98959</f>
        <v>120069</v>
      </c>
      <c r="H64" s="2">
        <f>1996+10578+97041</f>
        <v>109615</v>
      </c>
      <c r="I64" s="2">
        <f>3993+7216+98071</f>
        <v>109280</v>
      </c>
      <c r="J64" s="2">
        <f>5985+9822+95281</f>
        <v>111088</v>
      </c>
      <c r="K64" s="2">
        <f>1998+10954+95088</f>
        <v>108040</v>
      </c>
      <c r="L64" s="2">
        <f>1997+10762+91831</f>
        <v>104590</v>
      </c>
      <c r="M64" s="2">
        <f>2994+12114+86196</f>
        <v>101304</v>
      </c>
      <c r="N64" s="2">
        <f>9967+10912+85750</f>
        <v>106629</v>
      </c>
      <c r="O64" s="2">
        <f>1995+10848+83956</f>
        <v>96799</v>
      </c>
      <c r="P64" s="2">
        <f>5982+13638+78566</f>
        <v>98186</v>
      </c>
    </row>
    <row r="65" spans="2:16" x14ac:dyDescent="0.2">
      <c r="B65" t="s">
        <v>86</v>
      </c>
      <c r="F65" s="2">
        <v>49142</v>
      </c>
      <c r="H65" s="2">
        <v>52886</v>
      </c>
      <c r="I65" s="2">
        <v>51730</v>
      </c>
      <c r="J65" s="2">
        <v>49848</v>
      </c>
      <c r="K65" s="2">
        <v>50353</v>
      </c>
      <c r="L65" s="2">
        <v>47564</v>
      </c>
      <c r="M65" s="2">
        <v>47084</v>
      </c>
      <c r="N65" s="2">
        <v>45888</v>
      </c>
      <c r="O65" s="2">
        <v>49006</v>
      </c>
      <c r="P65" s="2">
        <v>41300</v>
      </c>
    </row>
    <row r="66" spans="2:16" s="4" customFormat="1" x14ac:dyDescent="0.2">
      <c r="B66" s="4" t="s">
        <v>35</v>
      </c>
      <c r="D66" s="5"/>
      <c r="E66" s="5"/>
      <c r="F66" s="5">
        <f>SUM(F61:F65)</f>
        <v>302083</v>
      </c>
      <c r="G66" s="5">
        <f t="shared" ref="G66:N66" si="68">SUM(G61:G65)</f>
        <v>0</v>
      </c>
      <c r="H66" s="5">
        <f t="shared" si="68"/>
        <v>270002</v>
      </c>
      <c r="I66" s="5">
        <f t="shared" si="68"/>
        <v>274764</v>
      </c>
      <c r="J66" s="5">
        <f t="shared" si="68"/>
        <v>290437</v>
      </c>
      <c r="K66" s="5">
        <f t="shared" si="68"/>
        <v>279414</v>
      </c>
      <c r="L66" s="5">
        <f t="shared" si="68"/>
        <v>263217</v>
      </c>
      <c r="M66" s="5">
        <f t="shared" si="68"/>
        <v>264904</v>
      </c>
      <c r="N66" s="5">
        <f t="shared" si="68"/>
        <v>308030</v>
      </c>
      <c r="O66" s="5">
        <f t="shared" ref="O66:P66" si="69">SUM(O61:O65)</f>
        <v>277327</v>
      </c>
      <c r="P66" s="5">
        <f t="shared" si="69"/>
        <v>264437</v>
      </c>
    </row>
    <row r="67" spans="2:16" x14ac:dyDescent="0.2">
      <c r="B67" t="s">
        <v>36</v>
      </c>
      <c r="F67" s="2">
        <f>+F60-F66</f>
        <v>50672</v>
      </c>
      <c r="H67" s="2">
        <f>+H60-H66</f>
        <v>62158</v>
      </c>
      <c r="I67" s="2">
        <f>+I60-I66</f>
        <v>60274</v>
      </c>
      <c r="J67" s="2">
        <f>+J60-J66</f>
        <v>62146</v>
      </c>
      <c r="K67" s="2">
        <f>+K60-K66</f>
        <v>74100</v>
      </c>
      <c r="L67" s="2">
        <v>74194</v>
      </c>
      <c r="M67" s="2">
        <v>66708</v>
      </c>
      <c r="N67" s="2">
        <v>56950</v>
      </c>
      <c r="O67" s="2">
        <v>66758</v>
      </c>
      <c r="P67" s="2">
        <v>66758</v>
      </c>
    </row>
    <row r="68" spans="2:16" x14ac:dyDescent="0.2">
      <c r="B68" t="s">
        <v>37</v>
      </c>
      <c r="F68" s="2">
        <f>+F67+F66</f>
        <v>352755</v>
      </c>
      <c r="H68" s="2">
        <f t="shared" ref="H68:O68" si="70">+H67+H66</f>
        <v>332160</v>
      </c>
      <c r="I68" s="2">
        <f t="shared" si="70"/>
        <v>335038</v>
      </c>
      <c r="J68" s="2">
        <f t="shared" si="70"/>
        <v>352583</v>
      </c>
      <c r="K68" s="2">
        <f t="shared" si="70"/>
        <v>353514</v>
      </c>
      <c r="L68" s="2">
        <f t="shared" si="70"/>
        <v>337411</v>
      </c>
      <c r="M68" s="2">
        <f t="shared" si="70"/>
        <v>331612</v>
      </c>
      <c r="N68" s="2">
        <f t="shared" si="70"/>
        <v>364980</v>
      </c>
      <c r="O68" s="2">
        <f t="shared" si="70"/>
        <v>344085</v>
      </c>
      <c r="P68" s="2">
        <f t="shared" ref="P68" si="71">+P67+P66</f>
        <v>331195</v>
      </c>
    </row>
    <row r="70" spans="2:16" x14ac:dyDescent="0.2">
      <c r="B70" t="s">
        <v>70</v>
      </c>
      <c r="G70" s="2">
        <f>+SUM(D41:G41)</f>
        <v>94732</v>
      </c>
      <c r="H70" s="2">
        <f>+SUM(E41:H41)</f>
        <v>93882</v>
      </c>
      <c r="I70" s="2">
        <f>+SUM(F41:I41)</f>
        <v>94321</v>
      </c>
      <c r="J70" s="2">
        <f>+SUM(G41:J41)</f>
        <v>96556</v>
      </c>
      <c r="K70" s="2">
        <f>+SUM(H41:K41)</f>
        <v>100913</v>
      </c>
      <c r="L70" s="2">
        <f>+SUM(I41:L41)</f>
        <v>100389</v>
      </c>
      <c r="M70" s="2">
        <f>+SUM(J41:M41)</f>
        <v>101956</v>
      </c>
      <c r="N70" s="2">
        <f>+SUM(K41:N41)</f>
        <v>93736</v>
      </c>
      <c r="O70" s="2">
        <f>+SUM(L41:O41)</f>
        <v>96150</v>
      </c>
      <c r="P70" s="2">
        <f>+SUM(M41:P41)</f>
        <v>97294</v>
      </c>
    </row>
    <row r="71" spans="2:16" s="7" customFormat="1" x14ac:dyDescent="0.2">
      <c r="B71" s="7" t="s">
        <v>95</v>
      </c>
      <c r="H71" s="7">
        <f t="shared" ref="H71:K71" si="72">+H70/(H54+H55+H56+H57+H58+H59)</f>
        <v>0.56614423465418784</v>
      </c>
      <c r="I71" s="7">
        <f t="shared" si="72"/>
        <v>0.55978515682957952</v>
      </c>
      <c r="J71" s="7">
        <f t="shared" si="72"/>
        <v>0.50689821717309591</v>
      </c>
      <c r="K71" s="7">
        <f t="shared" si="72"/>
        <v>0.55771834706724366</v>
      </c>
      <c r="L71" s="7">
        <f>+L70/(L54+L55+L56+L57+L58+L59)</f>
        <v>0.57340895849754958</v>
      </c>
      <c r="M71" s="7">
        <f>+M70/(M54+M55+M56+M57+M58+M59)</f>
        <v>0.57095497029192865</v>
      </c>
      <c r="N71" s="7">
        <f>+N70/(N54+N55+N56+N57+N58+N59)</f>
        <v>0.44993999903998466</v>
      </c>
      <c r="O71" s="7">
        <f>+O70/(O54+O55+O56+O57+O58+O59)</f>
        <v>0.47430654557831853</v>
      </c>
      <c r="P71" s="7">
        <f>+P70/(P54+P55+P56+P57+P58+P59)</f>
        <v>0.49061322871651092</v>
      </c>
    </row>
    <row r="73" spans="2:16" x14ac:dyDescent="0.2">
      <c r="B73" t="s">
        <v>39</v>
      </c>
      <c r="G73" s="2">
        <f>+G41</f>
        <v>29559</v>
      </c>
      <c r="H73" s="2">
        <f>+H41</f>
        <v>24160</v>
      </c>
      <c r="I73" s="2">
        <f>+I41</f>
        <v>19881</v>
      </c>
      <c r="J73" s="2">
        <f>+J41</f>
        <v>22956</v>
      </c>
      <c r="K73" s="2">
        <f>+K41</f>
        <v>33916</v>
      </c>
      <c r="L73" s="2">
        <f>+L41</f>
        <v>23636</v>
      </c>
      <c r="M73" s="2">
        <f>+M41</f>
        <v>21448</v>
      </c>
      <c r="N73" s="2">
        <f>+N41</f>
        <v>14736</v>
      </c>
      <c r="O73" s="2">
        <f>+O41</f>
        <v>36330</v>
      </c>
      <c r="P73" s="2">
        <f>+P41</f>
        <v>24780</v>
      </c>
    </row>
    <row r="74" spans="2:16" x14ac:dyDescent="0.2">
      <c r="B74" t="s">
        <v>40</v>
      </c>
      <c r="G74" s="2">
        <v>29998</v>
      </c>
      <c r="H74" s="2">
        <f>54158-G74</f>
        <v>24160</v>
      </c>
      <c r="I74" s="2">
        <f>74039-SUM(G74:H74)</f>
        <v>19881</v>
      </c>
      <c r="J74" s="2">
        <f>96995-SUM(G74:I74)</f>
        <v>22956</v>
      </c>
      <c r="K74" s="2">
        <v>33916</v>
      </c>
      <c r="L74" s="2">
        <f>57552-K74</f>
        <v>23636</v>
      </c>
      <c r="M74" s="2">
        <f>79000-SUM(K74:L74)</f>
        <v>21448</v>
      </c>
      <c r="N74" s="2">
        <f>93736-SUM(K74:M74)</f>
        <v>14736</v>
      </c>
      <c r="O74" s="2">
        <v>36330</v>
      </c>
      <c r="P74" s="2">
        <f>61110-O74</f>
        <v>24780</v>
      </c>
    </row>
    <row r="75" spans="2:16" x14ac:dyDescent="0.2">
      <c r="B75" t="s">
        <v>41</v>
      </c>
      <c r="G75" s="2">
        <v>2916</v>
      </c>
      <c r="H75" s="2">
        <f>5814-G75</f>
        <v>2898</v>
      </c>
      <c r="I75" s="2">
        <f>8866-SUM(G75:H75)</f>
        <v>3052</v>
      </c>
      <c r="J75" s="2">
        <f>11519-SUM(G75:I75)</f>
        <v>2653</v>
      </c>
      <c r="K75" s="2">
        <v>2848</v>
      </c>
      <c r="L75" s="2">
        <f>5684-K75</f>
        <v>2836</v>
      </c>
      <c r="M75" s="2">
        <f>8534-SUM(K75:L75)</f>
        <v>2850</v>
      </c>
      <c r="N75" s="2">
        <f>11445-SUM(K75:M75)</f>
        <v>2911</v>
      </c>
      <c r="O75" s="2">
        <v>3080</v>
      </c>
      <c r="P75" s="2">
        <f>5741-O75</f>
        <v>2661</v>
      </c>
    </row>
    <row r="76" spans="2:16" x14ac:dyDescent="0.2">
      <c r="B76" t="s">
        <v>42</v>
      </c>
      <c r="G76" s="2">
        <v>2905</v>
      </c>
      <c r="H76" s="2">
        <f>5591-G76</f>
        <v>2686</v>
      </c>
      <c r="I76" s="2">
        <f>8208-SUM(G76:H76)</f>
        <v>2617</v>
      </c>
      <c r="J76" s="2">
        <f>10833-SUM(G76:I76)</f>
        <v>2625</v>
      </c>
      <c r="K76" s="2">
        <v>2997</v>
      </c>
      <c r="L76" s="2">
        <f>5961-K76</f>
        <v>2964</v>
      </c>
      <c r="M76" s="2">
        <f>8830-SUM(K76:L76)</f>
        <v>2869</v>
      </c>
      <c r="N76" s="2">
        <f>11688-SUM(K76:M76)</f>
        <v>2858</v>
      </c>
      <c r="O76" s="2">
        <v>3286</v>
      </c>
      <c r="P76" s="2">
        <f>6512-O76</f>
        <v>3226</v>
      </c>
    </row>
    <row r="77" spans="2:16" x14ac:dyDescent="0.2">
      <c r="B77" t="s">
        <v>43</v>
      </c>
      <c r="G77" s="2">
        <v>-317</v>
      </c>
      <c r="H77" s="2">
        <f>+-1732-G77</f>
        <v>-1415</v>
      </c>
      <c r="I77" s="2">
        <f>+-1651-SUM(G77:H77)</f>
        <v>81</v>
      </c>
      <c r="J77" s="2">
        <f>+-2227-SUM(G77:I77)</f>
        <v>-576</v>
      </c>
      <c r="K77" s="2">
        <v>-989</v>
      </c>
      <c r="L77" s="2">
        <f>-1971-K77</f>
        <v>-982</v>
      </c>
      <c r="M77" s="2">
        <f>-1964-SUM(K77:L77)</f>
        <v>7</v>
      </c>
      <c r="N77" s="2">
        <f>-2266-SUM(K77:M77)</f>
        <v>-302</v>
      </c>
      <c r="O77" s="2">
        <v>-2009</v>
      </c>
      <c r="P77" s="2">
        <f>-2217-O77</f>
        <v>-208</v>
      </c>
    </row>
    <row r="78" spans="2:16" x14ac:dyDescent="0.2">
      <c r="B78" t="s">
        <v>27</v>
      </c>
      <c r="G78" s="2">
        <v>4275</v>
      </c>
      <c r="H78" s="2">
        <f>9596-G78</f>
        <v>5321</v>
      </c>
      <c r="I78" s="2">
        <f>7609-SUM(G78:H78)</f>
        <v>-1987</v>
      </c>
      <c r="J78" s="2">
        <f>-1688-SUM(G78:I78)</f>
        <v>-9297</v>
      </c>
      <c r="K78" s="2">
        <v>6555</v>
      </c>
      <c r="L78" s="2">
        <f>7727-K78</f>
        <v>1172</v>
      </c>
      <c r="M78" s="2">
        <f>6697-SUM(K78:L78)</f>
        <v>-1030</v>
      </c>
      <c r="N78" s="2">
        <f>-3788-SUM(K78:M78)</f>
        <v>-10485</v>
      </c>
      <c r="O78" s="2">
        <v>3597</v>
      </c>
      <c r="P78" s="2">
        <f>7266-O78</f>
        <v>3669</v>
      </c>
    </row>
    <row r="79" spans="2:16" x14ac:dyDescent="0.2">
      <c r="B79" t="s">
        <v>87</v>
      </c>
      <c r="G79" s="2">
        <v>2320</v>
      </c>
      <c r="H79" s="2">
        <f>14785-G79</f>
        <v>12465</v>
      </c>
      <c r="I79" s="2">
        <f>13111-SUM(G79:H79)</f>
        <v>-1674</v>
      </c>
      <c r="J79" s="2">
        <f>1271-SUM(G79:I79)</f>
        <v>-11840</v>
      </c>
      <c r="K79" s="2">
        <v>4569</v>
      </c>
      <c r="L79" s="2">
        <f>12164-K79</f>
        <v>7595</v>
      </c>
      <c r="M79" s="2">
        <f>11100-SUM(K79:L79)</f>
        <v>-1064</v>
      </c>
      <c r="N79" s="2">
        <f>-1356-SUM(K79:M79)</f>
        <v>-12456</v>
      </c>
      <c r="O79" s="2">
        <v>3166</v>
      </c>
      <c r="P79" s="2">
        <f>9171-O79</f>
        <v>6005</v>
      </c>
    </row>
    <row r="80" spans="2:16" x14ac:dyDescent="0.2">
      <c r="B80" t="s">
        <v>29</v>
      </c>
      <c r="G80" s="2">
        <v>-1807</v>
      </c>
      <c r="H80" s="2">
        <f>-2548-G80</f>
        <v>-741</v>
      </c>
      <c r="I80" s="2">
        <f>-2570-SUM(G80:H80)</f>
        <v>-22</v>
      </c>
      <c r="J80" s="2">
        <f>-1618-SUM(G80:I80)</f>
        <v>952</v>
      </c>
      <c r="K80" s="2">
        <v>-137</v>
      </c>
      <c r="L80" s="2">
        <f>53-K80</f>
        <v>190</v>
      </c>
      <c r="M80" s="2">
        <f>41-SUM(K80:L80)</f>
        <v>-12</v>
      </c>
      <c r="N80" s="2">
        <f>-1046-SUM(K80:M80)</f>
        <v>-1087</v>
      </c>
      <c r="O80" s="2">
        <v>215</v>
      </c>
      <c r="P80" s="2">
        <f>858-O80</f>
        <v>643</v>
      </c>
    </row>
    <row r="81" spans="2:31" x14ac:dyDescent="0.2">
      <c r="B81" t="s">
        <v>88</v>
      </c>
      <c r="G81" s="2">
        <v>-4099</v>
      </c>
      <c r="H81" s="2">
        <f>-4092-G81</f>
        <v>7</v>
      </c>
      <c r="I81" s="2">
        <f>-4863-SUM(G81:H81)</f>
        <v>-771</v>
      </c>
      <c r="J81" s="2">
        <f>-5684-SUM(G81:I81)</f>
        <v>-821</v>
      </c>
      <c r="K81" s="2">
        <v>-1457</v>
      </c>
      <c r="L81" s="2">
        <f>-4438-K81</f>
        <v>-2981</v>
      </c>
      <c r="M81" s="2">
        <f>-5626-SUM(K81:L81)</f>
        <v>-1188</v>
      </c>
      <c r="N81" s="2">
        <f>-11731-SUM(K81:M81)</f>
        <v>-6105</v>
      </c>
      <c r="O81" s="2">
        <v>939</v>
      </c>
      <c r="P81" s="2">
        <f>-4371-O81</f>
        <v>-5310</v>
      </c>
    </row>
    <row r="82" spans="2:31" x14ac:dyDescent="0.2">
      <c r="B82" t="s">
        <v>33</v>
      </c>
      <c r="G82" s="2">
        <v>-6075</v>
      </c>
      <c r="H82" s="2">
        <f>-20764-G82</f>
        <v>-14689</v>
      </c>
      <c r="I82" s="2">
        <f>-16790-SUM(G82:H82)</f>
        <v>3974</v>
      </c>
      <c r="J82" s="2">
        <f>-1889-SUM(G82:I82)</f>
        <v>14901</v>
      </c>
      <c r="K82" s="2">
        <v>-4542</v>
      </c>
      <c r="L82" s="2">
        <f>-16710-K82</f>
        <v>-12168</v>
      </c>
      <c r="M82" s="2">
        <f>-15171-SUM(K82:L82)</f>
        <v>1539</v>
      </c>
      <c r="N82" s="2">
        <f>6020-SUM(K82:M82)</f>
        <v>21191</v>
      </c>
      <c r="O82" s="2">
        <v>-6671</v>
      </c>
      <c r="P82" s="2">
        <f>-14604-O82</f>
        <v>-7933</v>
      </c>
    </row>
    <row r="83" spans="2:31" x14ac:dyDescent="0.2">
      <c r="B83" t="s">
        <v>89</v>
      </c>
      <c r="G83" s="2">
        <v>3889</v>
      </c>
      <c r="H83" s="2">
        <f>1757-G83</f>
        <v>-2132</v>
      </c>
      <c r="I83" s="2">
        <f>2986-SUM(G83:H83)</f>
        <v>1229</v>
      </c>
      <c r="J83" s="2">
        <f>3031-SUM(G83:I83)</f>
        <v>45</v>
      </c>
      <c r="K83" s="2">
        <v>-3865</v>
      </c>
      <c r="L83" s="2">
        <f>-3437-K83</f>
        <v>428</v>
      </c>
      <c r="M83" s="2">
        <f>2-SUM(K83:L83)</f>
        <v>3439</v>
      </c>
      <c r="N83" s="2">
        <f>15552-SUM(K83:M83)</f>
        <v>15550</v>
      </c>
      <c r="O83" s="2">
        <v>-11998</v>
      </c>
      <c r="P83" s="2">
        <f>-15579-O83</f>
        <v>-3581</v>
      </c>
    </row>
    <row r="84" spans="2:31" x14ac:dyDescent="0.2">
      <c r="B84" t="s">
        <v>44</v>
      </c>
      <c r="G84" s="2">
        <f t="shared" ref="G84:O84" si="73">+SUM(G78:G83)</f>
        <v>-1497</v>
      </c>
      <c r="H84" s="2">
        <f t="shared" si="73"/>
        <v>231</v>
      </c>
      <c r="I84" s="2">
        <f t="shared" si="73"/>
        <v>749</v>
      </c>
      <c r="J84" s="2">
        <f t="shared" si="73"/>
        <v>-6060</v>
      </c>
      <c r="K84" s="2">
        <f t="shared" si="73"/>
        <v>1123</v>
      </c>
      <c r="L84" s="2">
        <f t="shared" si="73"/>
        <v>-5764</v>
      </c>
      <c r="M84" s="2">
        <f t="shared" si="73"/>
        <v>1684</v>
      </c>
      <c r="N84" s="2">
        <f t="shared" si="73"/>
        <v>6608</v>
      </c>
      <c r="O84" s="2">
        <f t="shared" si="73"/>
        <v>-10752</v>
      </c>
      <c r="P84" s="2">
        <f t="shared" ref="P84" si="74">+SUM(P78:P83)</f>
        <v>-6507</v>
      </c>
    </row>
    <row r="85" spans="2:31" s="5" customFormat="1" x14ac:dyDescent="0.2">
      <c r="B85" s="5" t="s">
        <v>45</v>
      </c>
      <c r="G85" s="5">
        <f t="shared" ref="G85:N85" si="75">+SUM(G74:G83)</f>
        <v>34005</v>
      </c>
      <c r="H85" s="5">
        <f t="shared" si="75"/>
        <v>28560</v>
      </c>
      <c r="I85" s="5">
        <f t="shared" si="75"/>
        <v>26380</v>
      </c>
      <c r="J85" s="5">
        <f t="shared" si="75"/>
        <v>21598</v>
      </c>
      <c r="K85" s="5">
        <f t="shared" si="75"/>
        <v>39895</v>
      </c>
      <c r="L85" s="5">
        <f t="shared" si="75"/>
        <v>22690</v>
      </c>
      <c r="M85" s="5">
        <f t="shared" si="75"/>
        <v>28858</v>
      </c>
      <c r="N85" s="5">
        <f t="shared" si="75"/>
        <v>26811</v>
      </c>
      <c r="O85" s="5">
        <f t="shared" ref="O85:P85" si="76">+SUM(O74:O83)</f>
        <v>29935</v>
      </c>
      <c r="P85" s="5">
        <f t="shared" si="76"/>
        <v>23952</v>
      </c>
      <c r="U85" s="5">
        <v>59713</v>
      </c>
      <c r="V85" s="5">
        <v>81266</v>
      </c>
      <c r="W85" s="5">
        <v>65824</v>
      </c>
      <c r="X85" s="5">
        <v>63598</v>
      </c>
      <c r="Y85" s="5">
        <v>77434</v>
      </c>
      <c r="Z85" s="5">
        <v>69391</v>
      </c>
      <c r="AA85" s="5">
        <v>114938</v>
      </c>
      <c r="AB85" s="5">
        <v>104038</v>
      </c>
      <c r="AC85" s="5">
        <v>122151</v>
      </c>
      <c r="AD85" s="5">
        <v>110543</v>
      </c>
      <c r="AE85" s="5">
        <v>118254</v>
      </c>
    </row>
    <row r="86" spans="2:31" x14ac:dyDescent="0.2">
      <c r="L86" s="2"/>
      <c r="N86" s="2"/>
      <c r="O86" s="2"/>
      <c r="P86" s="2"/>
    </row>
    <row r="87" spans="2:31" x14ac:dyDescent="0.2">
      <c r="B87" t="s">
        <v>30</v>
      </c>
      <c r="G87" s="2">
        <f>+-5153+7127+509</f>
        <v>2483</v>
      </c>
      <c r="H87" s="2">
        <f>+-11197+17124+1897-G87</f>
        <v>5341</v>
      </c>
      <c r="I87" s="2">
        <f>+-20956+27857+3959-SUM(G87:H87)</f>
        <v>3036</v>
      </c>
      <c r="J87" s="2">
        <f>+-29512+39686+5828-SUM(G87:I87)</f>
        <v>5142</v>
      </c>
      <c r="K87" s="2">
        <f>+-9780+13046+1337</f>
        <v>4603</v>
      </c>
      <c r="L87" s="2">
        <f>-25042+27462+4314-K87</f>
        <v>2131</v>
      </c>
      <c r="M87" s="2">
        <f>-38074+39838+7382-SUM(K87:L87)</f>
        <v>2412</v>
      </c>
      <c r="N87" s="2">
        <f>-48656+51211+11135-SUM(K87:M87)</f>
        <v>4544</v>
      </c>
      <c r="O87" s="2">
        <f>-6124+15967+3492</f>
        <v>13335</v>
      </c>
      <c r="P87" s="2">
        <f>-12442+26587+5210-O87</f>
        <v>6020</v>
      </c>
    </row>
    <row r="88" spans="2:31" s="2" customFormat="1" x14ac:dyDescent="0.2">
      <c r="B88" s="2" t="s">
        <v>46</v>
      </c>
      <c r="G88" s="2">
        <v>-3787</v>
      </c>
      <c r="H88" s="2">
        <f>+-6703-G88</f>
        <v>-2916</v>
      </c>
      <c r="I88" s="2">
        <f>+-8796-SUM(G88:H88)</f>
        <v>-2093</v>
      </c>
      <c r="J88" s="2">
        <f>+-10959-SUM(G88:I88)</f>
        <v>-2163</v>
      </c>
      <c r="K88" s="2">
        <v>-2392</v>
      </c>
      <c r="L88" s="2">
        <f>-4388-K88</f>
        <v>-1996</v>
      </c>
      <c r="M88" s="2">
        <f>-6539-SUM(K88:L88)</f>
        <v>-2151</v>
      </c>
      <c r="N88" s="2">
        <f>-9447-SUM(K88:M88)</f>
        <v>-2908</v>
      </c>
      <c r="O88" s="2">
        <v>-2940</v>
      </c>
      <c r="P88" s="2">
        <f>-6011-O88</f>
        <v>-3071</v>
      </c>
      <c r="U88" s="2">
        <v>-9571</v>
      </c>
      <c r="V88" s="2">
        <v>-11247</v>
      </c>
      <c r="W88" s="2">
        <v>-12734</v>
      </c>
      <c r="X88" s="2">
        <v>-12451</v>
      </c>
      <c r="Y88" s="2">
        <v>-13313</v>
      </c>
      <c r="Z88" s="2">
        <v>-10495</v>
      </c>
      <c r="AA88" s="2">
        <v>-7309</v>
      </c>
      <c r="AB88" s="2">
        <v>-11085</v>
      </c>
      <c r="AC88" s="2">
        <v>-10708</v>
      </c>
      <c r="AD88" s="2">
        <v>-10959</v>
      </c>
      <c r="AE88" s="2">
        <v>-9447</v>
      </c>
    </row>
    <row r="89" spans="2:31" x14ac:dyDescent="0.2">
      <c r="B89" t="s">
        <v>43</v>
      </c>
      <c r="G89" s="2">
        <v>-141</v>
      </c>
      <c r="H89" s="2">
        <f>+-247-G89</f>
        <v>-106</v>
      </c>
      <c r="I89" s="2">
        <f>+-753-SUM(G89:H89)</f>
        <v>-506</v>
      </c>
      <c r="J89" s="2">
        <f>+-1337-SUM(G89:I89)</f>
        <v>-584</v>
      </c>
      <c r="K89" s="2">
        <v>-284</v>
      </c>
      <c r="L89" s="2">
        <f>-729-K89</f>
        <v>-445</v>
      </c>
      <c r="M89" s="2">
        <f>-1117-SUM(K89:L89)</f>
        <v>-388</v>
      </c>
      <c r="N89" s="2">
        <f>-1308-SUM(K89:M89)</f>
        <v>-191</v>
      </c>
      <c r="O89" s="2">
        <v>-603</v>
      </c>
      <c r="P89" s="2">
        <f>-635-O89</f>
        <v>-32</v>
      </c>
    </row>
    <row r="90" spans="2:31" x14ac:dyDescent="0.2">
      <c r="B90" t="s">
        <v>47</v>
      </c>
      <c r="G90" s="2">
        <f t="shared" ref="G90:O90" si="77">SUM(G87:G89)</f>
        <v>-1445</v>
      </c>
      <c r="H90" s="2">
        <f t="shared" si="77"/>
        <v>2319</v>
      </c>
      <c r="I90" s="2">
        <f t="shared" si="77"/>
        <v>437</v>
      </c>
      <c r="J90" s="2">
        <f t="shared" si="77"/>
        <v>2395</v>
      </c>
      <c r="K90" s="2">
        <f t="shared" si="77"/>
        <v>1927</v>
      </c>
      <c r="L90" s="2">
        <f t="shared" si="77"/>
        <v>-310</v>
      </c>
      <c r="M90" s="2">
        <f t="shared" si="77"/>
        <v>-127</v>
      </c>
      <c r="N90" s="2">
        <f t="shared" si="77"/>
        <v>1445</v>
      </c>
      <c r="O90" s="2">
        <f t="shared" si="77"/>
        <v>9792</v>
      </c>
      <c r="P90" s="2">
        <f t="shared" ref="P90" si="78">SUM(P87:P89)</f>
        <v>2917</v>
      </c>
    </row>
    <row r="91" spans="2:31" x14ac:dyDescent="0.2">
      <c r="N91" s="2"/>
      <c r="O91" s="2"/>
      <c r="P91" s="2"/>
    </row>
    <row r="92" spans="2:31" x14ac:dyDescent="0.2">
      <c r="B92" t="s">
        <v>96</v>
      </c>
      <c r="G92" s="2">
        <v>-2316</v>
      </c>
      <c r="H92" s="2">
        <f>+-2734-G92</f>
        <v>-418</v>
      </c>
      <c r="I92" s="2">
        <f>+-5119-SUM(G92:H92)</f>
        <v>-2385</v>
      </c>
      <c r="J92" s="2">
        <f>+-5431-SUM(G92:I92)</f>
        <v>-312</v>
      </c>
      <c r="K92" s="2">
        <v>-2591</v>
      </c>
      <c r="L92" s="2">
        <f>-2875-K92</f>
        <v>-284</v>
      </c>
      <c r="M92" s="2">
        <f>-5163-SUM(K92:L92)</f>
        <v>-2288</v>
      </c>
      <c r="N92" s="2">
        <f>-5441-SUM(K92:M92)</f>
        <v>-278</v>
      </c>
      <c r="O92" s="2">
        <v>-2921</v>
      </c>
      <c r="P92" s="2">
        <f>-3205-O92</f>
        <v>-284</v>
      </c>
    </row>
    <row r="93" spans="2:31" x14ac:dyDescent="0.2">
      <c r="B93" t="s">
        <v>48</v>
      </c>
      <c r="G93" s="2">
        <v>-3768</v>
      </c>
      <c r="H93" s="2">
        <f>+-7418-G93</f>
        <v>-3650</v>
      </c>
      <c r="I93" s="2">
        <f>+-11267-SUM(G93:H93)</f>
        <v>-3849</v>
      </c>
      <c r="J93" s="2">
        <f>+-15025-SUM(G93:I93)</f>
        <v>-3758</v>
      </c>
      <c r="K93" s="2">
        <v>-3825</v>
      </c>
      <c r="L93" s="2">
        <f>-7535-K93</f>
        <v>-3710</v>
      </c>
      <c r="M93" s="2">
        <f>-11430-SUM(K93:L93)</f>
        <v>-3895</v>
      </c>
      <c r="N93" s="2">
        <f>-15234-SUM(K93:M93)</f>
        <v>-3804</v>
      </c>
      <c r="O93" s="2">
        <v>-3856</v>
      </c>
      <c r="P93" s="2">
        <f>-7614-O93</f>
        <v>-3758</v>
      </c>
    </row>
    <row r="94" spans="2:31" x14ac:dyDescent="0.2">
      <c r="B94" t="s">
        <v>49</v>
      </c>
      <c r="G94" s="2">
        <v>-19475</v>
      </c>
      <c r="H94" s="2">
        <f>+-39069-G94</f>
        <v>-19594</v>
      </c>
      <c r="I94" s="2">
        <f>+-56547-SUM(G94:H94)</f>
        <v>-17478</v>
      </c>
      <c r="J94" s="2">
        <f>+-77550-SUM(G94:I94)</f>
        <v>-21003</v>
      </c>
      <c r="K94" s="2">
        <v>-20139</v>
      </c>
      <c r="L94" s="2">
        <f>-43344-K94</f>
        <v>-23205</v>
      </c>
      <c r="M94" s="2">
        <f>-69866-SUM(K94:L94)</f>
        <v>-26522</v>
      </c>
      <c r="N94" s="2">
        <f>-94949-SUM(K94:M94)</f>
        <v>-25083</v>
      </c>
      <c r="O94" s="2">
        <v>-23606</v>
      </c>
      <c r="P94" s="2">
        <f>-49504-O94</f>
        <v>-25898</v>
      </c>
    </row>
    <row r="95" spans="2:31" x14ac:dyDescent="0.2">
      <c r="B95" t="s">
        <v>6</v>
      </c>
      <c r="G95" s="2">
        <f>+-1401+-8214</f>
        <v>-9615</v>
      </c>
      <c r="H95" s="2">
        <f>+-3651+-7960-G95</f>
        <v>-1996</v>
      </c>
      <c r="I95" s="2">
        <f>5228-11151-5971-SUM(G95:H95)</f>
        <v>-283</v>
      </c>
      <c r="J95" s="2">
        <f>5228-11151-3978-SUM(G95:I95)</f>
        <v>1993</v>
      </c>
      <c r="K95" s="2">
        <v>-3984</v>
      </c>
      <c r="L95" s="2">
        <f>-3150-3982-K95</f>
        <v>-3148</v>
      </c>
      <c r="M95" s="2">
        <f>-7400-SUM(K95:L95)</f>
        <v>-268</v>
      </c>
      <c r="N95" s="2">
        <f>-9958+3960-SUM(K95:M95)</f>
        <v>1402</v>
      </c>
      <c r="O95" s="2">
        <f>-1009-7944</f>
        <v>-8953</v>
      </c>
      <c r="P95" s="2">
        <f>-4009-3968-O95</f>
        <v>976</v>
      </c>
    </row>
    <row r="96" spans="2:31" x14ac:dyDescent="0.2">
      <c r="B96" t="s">
        <v>43</v>
      </c>
      <c r="G96" s="2">
        <v>-389</v>
      </c>
      <c r="H96" s="2">
        <f>+-455-G96</f>
        <v>-66</v>
      </c>
      <c r="I96" s="2">
        <f>+-508-SUM(G96:H96)</f>
        <v>-53</v>
      </c>
      <c r="J96" s="2">
        <f>+-581-SUM(G96:I96)</f>
        <v>-73</v>
      </c>
      <c r="K96" s="2">
        <v>-46</v>
      </c>
      <c r="L96" s="2">
        <f>-132-K96</f>
        <v>-86</v>
      </c>
      <c r="M96" s="2">
        <f>-191-SUM(K96:L96)</f>
        <v>-59</v>
      </c>
      <c r="N96" s="2">
        <f>-361-SUM(K96:M96)</f>
        <v>-170</v>
      </c>
      <c r="O96" s="2">
        <v>-35</v>
      </c>
      <c r="P96" s="2">
        <f>-77-O96</f>
        <v>-42</v>
      </c>
    </row>
    <row r="97" spans="2:31" x14ac:dyDescent="0.2">
      <c r="B97" t="s">
        <v>50</v>
      </c>
      <c r="G97" s="2">
        <f t="shared" ref="G97:O97" si="79">SUM(G92:G96)</f>
        <v>-35563</v>
      </c>
      <c r="H97" s="2">
        <f t="shared" si="79"/>
        <v>-25724</v>
      </c>
      <c r="I97" s="2">
        <f t="shared" si="79"/>
        <v>-24048</v>
      </c>
      <c r="J97" s="2">
        <f t="shared" si="79"/>
        <v>-23153</v>
      </c>
      <c r="K97" s="2">
        <f t="shared" si="79"/>
        <v>-30585</v>
      </c>
      <c r="L97" s="2">
        <f t="shared" si="79"/>
        <v>-30433</v>
      </c>
      <c r="M97" s="2">
        <f t="shared" si="79"/>
        <v>-33032</v>
      </c>
      <c r="N97" s="2">
        <f t="shared" si="79"/>
        <v>-27933</v>
      </c>
      <c r="O97" s="2">
        <f t="shared" si="79"/>
        <v>-39371</v>
      </c>
      <c r="P97" s="2">
        <f t="shared" ref="P97" si="80">SUM(P92:P96)</f>
        <v>-29006</v>
      </c>
    </row>
    <row r="98" spans="2:31" x14ac:dyDescent="0.2">
      <c r="N98" s="2"/>
      <c r="O98" s="2"/>
      <c r="P98" s="2"/>
    </row>
    <row r="99" spans="2:31" x14ac:dyDescent="0.2">
      <c r="B99" t="s">
        <v>51</v>
      </c>
      <c r="G99" s="2">
        <f t="shared" ref="G99:O99" si="81">+G85+G90+G97</f>
        <v>-3003</v>
      </c>
      <c r="H99" s="2">
        <f t="shared" si="81"/>
        <v>5155</v>
      </c>
      <c r="I99" s="2">
        <f t="shared" si="81"/>
        <v>2769</v>
      </c>
      <c r="J99" s="2">
        <f t="shared" si="81"/>
        <v>840</v>
      </c>
      <c r="K99" s="2">
        <f t="shared" si="81"/>
        <v>11237</v>
      </c>
      <c r="L99" s="2">
        <f t="shared" si="81"/>
        <v>-8053</v>
      </c>
      <c r="M99" s="2">
        <f t="shared" si="81"/>
        <v>-4301</v>
      </c>
      <c r="N99" s="2">
        <f t="shared" si="81"/>
        <v>323</v>
      </c>
      <c r="O99" s="2">
        <f t="shared" si="81"/>
        <v>356</v>
      </c>
      <c r="P99" s="2">
        <f t="shared" ref="P99" si="82">+P85+P90+P97</f>
        <v>-2137</v>
      </c>
    </row>
    <row r="100" spans="2:31" x14ac:dyDescent="0.2">
      <c r="O100" s="2"/>
      <c r="P100" s="2"/>
    </row>
    <row r="101" spans="2:31" s="2" customFormat="1" x14ac:dyDescent="0.2">
      <c r="B101" s="2" t="s">
        <v>90</v>
      </c>
      <c r="G101" s="2">
        <f t="shared" ref="G101:K101" si="83">+G85+G88</f>
        <v>30218</v>
      </c>
      <c r="H101" s="2">
        <f t="shared" si="83"/>
        <v>25644</v>
      </c>
      <c r="I101" s="2">
        <f t="shared" si="83"/>
        <v>24287</v>
      </c>
      <c r="J101" s="2">
        <f t="shared" si="83"/>
        <v>19435</v>
      </c>
      <c r="K101" s="2">
        <f t="shared" si="83"/>
        <v>37503</v>
      </c>
      <c r="L101" s="2">
        <f>+L85+L88</f>
        <v>20694</v>
      </c>
      <c r="M101" s="2">
        <f>+M85+M88</f>
        <v>26707</v>
      </c>
      <c r="N101" s="2">
        <f>+N85+N88</f>
        <v>23903</v>
      </c>
      <c r="O101" s="2">
        <f>+O85+O88</f>
        <v>26995</v>
      </c>
      <c r="P101" s="2">
        <f>+P85+P88</f>
        <v>20881</v>
      </c>
      <c r="U101" s="2">
        <f t="shared" ref="U101:AB101" si="84">+U85+U88</f>
        <v>50142</v>
      </c>
      <c r="V101" s="2">
        <f t="shared" si="84"/>
        <v>70019</v>
      </c>
      <c r="W101" s="2">
        <f t="shared" si="84"/>
        <v>53090</v>
      </c>
      <c r="X101" s="2">
        <f t="shared" si="84"/>
        <v>51147</v>
      </c>
      <c r="Y101" s="2">
        <f t="shared" si="84"/>
        <v>64121</v>
      </c>
      <c r="Z101" s="2">
        <f t="shared" si="84"/>
        <v>58896</v>
      </c>
      <c r="AA101" s="2">
        <f t="shared" si="84"/>
        <v>107629</v>
      </c>
      <c r="AB101" s="2">
        <f t="shared" si="84"/>
        <v>92953</v>
      </c>
      <c r="AC101" s="2">
        <f>+AC85+AC88</f>
        <v>111443</v>
      </c>
      <c r="AD101" s="2">
        <f>+AD85+AD88</f>
        <v>99584</v>
      </c>
      <c r="AE101" s="2">
        <f>+AE85+AE88</f>
        <v>108807</v>
      </c>
    </row>
    <row r="102" spans="2:31" x14ac:dyDescent="0.2">
      <c r="B102" t="s">
        <v>91</v>
      </c>
      <c r="J102" s="2">
        <f t="shared" ref="J102:K102" si="85">+SUM(G101:J101)</f>
        <v>99584</v>
      </c>
      <c r="K102" s="2">
        <f t="shared" si="85"/>
        <v>106869</v>
      </c>
      <c r="L102" s="2">
        <f>+SUM(I101:L101)</f>
        <v>101919</v>
      </c>
      <c r="M102" s="2">
        <f>+SUM(J101:M101)</f>
        <v>104339</v>
      </c>
      <c r="N102" s="2">
        <f>+SUM(K101:N101)</f>
        <v>108807</v>
      </c>
      <c r="O102" s="2">
        <f>+SUM(L101:O101)</f>
        <v>98299</v>
      </c>
      <c r="P102" s="2">
        <f>+SUM(M101:P101)</f>
        <v>98486</v>
      </c>
    </row>
    <row r="103" spans="2:31" s="7" customFormat="1" x14ac:dyDescent="0.2">
      <c r="AE103" s="7">
        <f>+RATE(3,0,-AB101,AE101)</f>
        <v>5.3896126801927513E-2</v>
      </c>
    </row>
    <row r="104" spans="2:31" x14ac:dyDescent="0.2">
      <c r="O104" s="7"/>
      <c r="AE104" s="7">
        <f>+(RATE(10,0,-U101,AE101))</f>
        <v>8.0551618953748544E-2</v>
      </c>
    </row>
  </sheetData>
  <hyperlinks>
    <hyperlink ref="A1" location="Main!A1" display="Main" xr:uid="{4FA6463C-99C9-43B5-ADF0-3307E48C45C6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2024-03-26T12:55:51Z</dcterms:created>
  <dcterms:modified xsi:type="dcterms:W3CDTF">2025-05-03T17:59:01Z</dcterms:modified>
</cp:coreProperties>
</file>