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ModelsResearchMetrics\Models\"/>
    </mc:Choice>
  </mc:AlternateContent>
  <xr:revisionPtr revIDLastSave="0" documentId="13_ncr:1_{7D71BCF7-56EB-4442-B924-F8502B1C5694}" xr6:coauthVersionLast="47" xr6:coauthVersionMax="47" xr10:uidLastSave="{00000000-0000-0000-0000-000000000000}"/>
  <bookViews>
    <workbookView xWindow="120" yWindow="15" windowWidth="14235" windowHeight="15495" xr2:uid="{99C9475A-A650-4202-9CB5-A17CEAE4A614}"/>
  </bookViews>
  <sheets>
    <sheet name="Main" sheetId="1" r:id="rId1"/>
    <sheet name="Model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6" i="1"/>
  <c r="L4" i="1"/>
  <c r="R50" i="2"/>
  <c r="R85" i="2"/>
  <c r="N82" i="2"/>
  <c r="N80" i="2"/>
  <c r="N78" i="2"/>
  <c r="N75" i="2"/>
  <c r="N73" i="2"/>
  <c r="N72" i="2"/>
  <c r="R80" i="2"/>
  <c r="R78" i="2"/>
  <c r="R75" i="2"/>
  <c r="R72" i="2"/>
  <c r="R73" i="2" s="1"/>
  <c r="R66" i="2"/>
  <c r="R67" i="2" s="1"/>
  <c r="R82" i="2" s="1"/>
  <c r="R31" i="2"/>
  <c r="R38" i="2" s="1"/>
  <c r="R45" i="2"/>
  <c r="R47" i="2" s="1"/>
  <c r="R12" i="2"/>
  <c r="R5" i="2"/>
  <c r="R7" i="2" s="1"/>
  <c r="AH69" i="2"/>
  <c r="AI69" i="2"/>
  <c r="AI65" i="2"/>
  <c r="AI64" i="2"/>
  <c r="AI63" i="2"/>
  <c r="AI62" i="2"/>
  <c r="AI61" i="2"/>
  <c r="AI60" i="2"/>
  <c r="AI59" i="2"/>
  <c r="AI58" i="2"/>
  <c r="AI57" i="2"/>
  <c r="AI56" i="2"/>
  <c r="AI55" i="2"/>
  <c r="Q66" i="2"/>
  <c r="Q67" i="2" s="1"/>
  <c r="Q82" i="2" s="1"/>
  <c r="AH45" i="2"/>
  <c r="AH47" i="2" s="1"/>
  <c r="AH31" i="2"/>
  <c r="AH38" i="2" s="1"/>
  <c r="AI45" i="2"/>
  <c r="AI47" i="2" s="1"/>
  <c r="AI31" i="2"/>
  <c r="AI38" i="2" s="1"/>
  <c r="Q31" i="2"/>
  <c r="Q29" i="2" s="1"/>
  <c r="Q45" i="2"/>
  <c r="Q47" i="2" s="1"/>
  <c r="AI20" i="2"/>
  <c r="AI17" i="2"/>
  <c r="AI15" i="2"/>
  <c r="AI14" i="2"/>
  <c r="AI11" i="2"/>
  <c r="AI10" i="2"/>
  <c r="AJ10" i="2" s="1"/>
  <c r="AI9" i="2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I8" i="2"/>
  <c r="AI6" i="2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I4" i="2"/>
  <c r="AI3" i="2"/>
  <c r="Q12" i="2"/>
  <c r="Q5" i="2"/>
  <c r="Q7" i="2" s="1"/>
  <c r="R29" i="2" l="1"/>
  <c r="R30" i="2"/>
  <c r="R22" i="2"/>
  <c r="R13" i="2"/>
  <c r="R23" i="2" s="1"/>
  <c r="Q83" i="2"/>
  <c r="R83" i="2"/>
  <c r="AI12" i="2"/>
  <c r="AJ8" i="2"/>
  <c r="AK8" i="2" s="1"/>
  <c r="AL8" i="2" s="1"/>
  <c r="AM8" i="2" s="1"/>
  <c r="AN8" i="2" s="1"/>
  <c r="AO8" i="2" s="1"/>
  <c r="AP8" i="2" s="1"/>
  <c r="AQ8" i="2" s="1"/>
  <c r="AR8" i="2" s="1"/>
  <c r="AS8" i="2" s="1"/>
  <c r="AI66" i="2"/>
  <c r="AI67" i="2" s="1"/>
  <c r="AI82" i="2" s="1"/>
  <c r="AH30" i="2"/>
  <c r="Q38" i="2"/>
  <c r="Q30" i="2"/>
  <c r="Q13" i="2"/>
  <c r="Q22" i="2"/>
  <c r="AI30" i="2"/>
  <c r="AK10" i="2"/>
  <c r="AL10" i="2" s="1"/>
  <c r="AM10" i="2" s="1"/>
  <c r="AN10" i="2" s="1"/>
  <c r="AO10" i="2" s="1"/>
  <c r="AP10" i="2" s="1"/>
  <c r="AQ10" i="2" s="1"/>
  <c r="AR10" i="2" s="1"/>
  <c r="AS10" i="2" s="1"/>
  <c r="AJ11" i="2"/>
  <c r="AK11" i="2" s="1"/>
  <c r="AL11" i="2" s="1"/>
  <c r="AM11" i="2" s="1"/>
  <c r="AN11" i="2" s="1"/>
  <c r="AO11" i="2" s="1"/>
  <c r="AP11" i="2" s="1"/>
  <c r="AQ11" i="2" s="1"/>
  <c r="AR11" i="2" s="1"/>
  <c r="AS11" i="2" s="1"/>
  <c r="R16" i="2" l="1"/>
  <c r="R18" i="2" s="1"/>
  <c r="R51" i="2"/>
  <c r="R52" i="2" s="1"/>
  <c r="Q16" i="2"/>
  <c r="Q18" i="2" s="1"/>
  <c r="Q51" i="2"/>
  <c r="Q52" i="2" s="1"/>
  <c r="AJ12" i="2"/>
  <c r="AJ15" i="2"/>
  <c r="AK15" i="2" s="1"/>
  <c r="AL15" i="2" s="1"/>
  <c r="AM15" i="2" s="1"/>
  <c r="AN15" i="2" s="1"/>
  <c r="AO15" i="2" s="1"/>
  <c r="AP15" i="2" s="1"/>
  <c r="AQ15" i="2" s="1"/>
  <c r="AR15" i="2" s="1"/>
  <c r="AS15" i="2" s="1"/>
  <c r="W11" i="2"/>
  <c r="W10" i="2"/>
  <c r="W9" i="2"/>
  <c r="W8" i="2"/>
  <c r="W6" i="2"/>
  <c r="R19" i="2" l="1"/>
  <c r="R54" i="2"/>
  <c r="R24" i="2"/>
  <c r="Q19" i="2"/>
  <c r="Q54" i="2"/>
  <c r="Q24" i="2"/>
  <c r="AK12" i="2"/>
  <c r="Y12" i="2"/>
  <c r="Y5" i="2"/>
  <c r="Y27" i="2" s="1"/>
  <c r="Z12" i="2"/>
  <c r="Z5" i="2"/>
  <c r="AA12" i="2"/>
  <c r="AA5" i="2"/>
  <c r="AA7" i="2" s="1"/>
  <c r="AB12" i="2"/>
  <c r="AB5" i="2"/>
  <c r="AC12" i="2"/>
  <c r="AC5" i="2"/>
  <c r="AD12" i="2"/>
  <c r="AD5" i="2"/>
  <c r="AE12" i="2"/>
  <c r="AE5" i="2"/>
  <c r="E20" i="2"/>
  <c r="E17" i="2"/>
  <c r="E15" i="2"/>
  <c r="E14" i="2"/>
  <c r="E11" i="2"/>
  <c r="E10" i="2"/>
  <c r="E9" i="2"/>
  <c r="E8" i="2"/>
  <c r="E6" i="2"/>
  <c r="E4" i="2"/>
  <c r="E3" i="2"/>
  <c r="B12" i="2"/>
  <c r="B5" i="2"/>
  <c r="F12" i="2"/>
  <c r="F5" i="2"/>
  <c r="D12" i="2"/>
  <c r="D5" i="2"/>
  <c r="H12" i="2"/>
  <c r="H5" i="2"/>
  <c r="C12" i="2"/>
  <c r="C5" i="2"/>
  <c r="G12" i="2"/>
  <c r="G5" i="2"/>
  <c r="Q23" i="2"/>
  <c r="K82" i="2"/>
  <c r="K83" i="2" s="1"/>
  <c r="L82" i="2"/>
  <c r="L83" i="2" s="1"/>
  <c r="J82" i="2"/>
  <c r="J83" i="2" s="1"/>
  <c r="M66" i="2"/>
  <c r="M67" i="2" s="1"/>
  <c r="M31" i="2"/>
  <c r="M38" i="2" s="1"/>
  <c r="M45" i="2"/>
  <c r="M47" i="2" s="1"/>
  <c r="I12" i="2"/>
  <c r="I5" i="2"/>
  <c r="M12" i="2"/>
  <c r="M5" i="2"/>
  <c r="Q27" i="2" s="1"/>
  <c r="AF12" i="2"/>
  <c r="AF5" i="2"/>
  <c r="AG12" i="2"/>
  <c r="AG5" i="2"/>
  <c r="AG7" i="2" s="1"/>
  <c r="AH12" i="2"/>
  <c r="AH5" i="2"/>
  <c r="N66" i="2"/>
  <c r="N67" i="2" s="1"/>
  <c r="N31" i="2"/>
  <c r="N38" i="2" s="1"/>
  <c r="N45" i="2"/>
  <c r="N47" i="2" s="1"/>
  <c r="J12" i="2"/>
  <c r="J5" i="2"/>
  <c r="N12" i="2"/>
  <c r="N5" i="2"/>
  <c r="R27" i="2" s="1"/>
  <c r="O66" i="2"/>
  <c r="O67" i="2" s="1"/>
  <c r="O82" i="2" s="1"/>
  <c r="O31" i="2"/>
  <c r="O30" i="2" s="1"/>
  <c r="O45" i="2"/>
  <c r="O47" i="2" s="1"/>
  <c r="K12" i="2"/>
  <c r="K5" i="2"/>
  <c r="O12" i="2"/>
  <c r="O5" i="2"/>
  <c r="P66" i="2"/>
  <c r="P67" i="2" s="1"/>
  <c r="P82" i="2" s="1"/>
  <c r="P83" i="2" s="1"/>
  <c r="P45" i="2"/>
  <c r="P47" i="2" s="1"/>
  <c r="P31" i="2"/>
  <c r="L12" i="2"/>
  <c r="L5" i="2"/>
  <c r="P12" i="2"/>
  <c r="O83" i="2" l="1"/>
  <c r="R86" i="2" s="1"/>
  <c r="Q85" i="2"/>
  <c r="K27" i="2"/>
  <c r="W5" i="2"/>
  <c r="M82" i="2"/>
  <c r="O85" i="2" s="1"/>
  <c r="AH67" i="2"/>
  <c r="AH82" i="2" s="1"/>
  <c r="N83" i="2"/>
  <c r="AL12" i="2"/>
  <c r="F27" i="2"/>
  <c r="P38" i="2"/>
  <c r="W12" i="2"/>
  <c r="G27" i="2"/>
  <c r="AH7" i="2"/>
  <c r="AH13" i="2" s="1"/>
  <c r="N27" i="2"/>
  <c r="L27" i="2"/>
  <c r="J27" i="2"/>
  <c r="E5" i="2"/>
  <c r="E7" i="2" s="1"/>
  <c r="E22" i="2" s="1"/>
  <c r="O27" i="2"/>
  <c r="E12" i="2"/>
  <c r="H27" i="2"/>
  <c r="Y7" i="2"/>
  <c r="Z27" i="2"/>
  <c r="Z7" i="2"/>
  <c r="AA27" i="2"/>
  <c r="M27" i="2"/>
  <c r="AF27" i="2"/>
  <c r="AB27" i="2"/>
  <c r="AC27" i="2"/>
  <c r="AB7" i="2"/>
  <c r="AC7" i="2"/>
  <c r="AD27" i="2"/>
  <c r="AD7" i="2"/>
  <c r="AE27" i="2"/>
  <c r="AE7" i="2"/>
  <c r="B7" i="2"/>
  <c r="F7" i="2"/>
  <c r="F22" i="2" s="1"/>
  <c r="D7" i="2"/>
  <c r="H7" i="2"/>
  <c r="C7" i="2"/>
  <c r="C22" i="2" s="1"/>
  <c r="G7" i="2"/>
  <c r="G22" i="2" s="1"/>
  <c r="O38" i="2"/>
  <c r="P30" i="2"/>
  <c r="N30" i="2"/>
  <c r="AH27" i="2"/>
  <c r="M30" i="2"/>
  <c r="I7" i="2"/>
  <c r="M7" i="2"/>
  <c r="AF7" i="2"/>
  <c r="AG27" i="2"/>
  <c r="AG13" i="2"/>
  <c r="AG22" i="2"/>
  <c r="J7" i="2"/>
  <c r="N7" i="2"/>
  <c r="K7" i="2"/>
  <c r="O7" i="2"/>
  <c r="L7" i="2"/>
  <c r="Q86" i="2" l="1"/>
  <c r="M85" i="2"/>
  <c r="P85" i="2"/>
  <c r="M83" i="2"/>
  <c r="P86" i="2" s="1"/>
  <c r="N85" i="2"/>
  <c r="AM12" i="2"/>
  <c r="G13" i="2"/>
  <c r="G16" i="2" s="1"/>
  <c r="AH22" i="2"/>
  <c r="E13" i="2"/>
  <c r="I27" i="2"/>
  <c r="Y13" i="2"/>
  <c r="Y22" i="2"/>
  <c r="Z22" i="2"/>
  <c r="Z13" i="2"/>
  <c r="AA13" i="2"/>
  <c r="AA22" i="2"/>
  <c r="AB13" i="2"/>
  <c r="AB22" i="2"/>
  <c r="AC22" i="2"/>
  <c r="AC13" i="2"/>
  <c r="AD22" i="2"/>
  <c r="AD13" i="2"/>
  <c r="AE13" i="2"/>
  <c r="AE22" i="2"/>
  <c r="B22" i="2"/>
  <c r="B13" i="2"/>
  <c r="F13" i="2"/>
  <c r="F23" i="2" s="1"/>
  <c r="D22" i="2"/>
  <c r="D13" i="2"/>
  <c r="H22" i="2"/>
  <c r="H13" i="2"/>
  <c r="C13" i="2"/>
  <c r="C23" i="2" s="1"/>
  <c r="AH23" i="2"/>
  <c r="AH16" i="2"/>
  <c r="AH18" i="2" s="1"/>
  <c r="I13" i="2"/>
  <c r="I22" i="2"/>
  <c r="M22" i="2"/>
  <c r="M13" i="2"/>
  <c r="AF22" i="2"/>
  <c r="AF13" i="2"/>
  <c r="AF23" i="2" s="1"/>
  <c r="AG23" i="2"/>
  <c r="AG16" i="2"/>
  <c r="J13" i="2"/>
  <c r="J22" i="2"/>
  <c r="N13" i="2"/>
  <c r="N22" i="2"/>
  <c r="K13" i="2"/>
  <c r="K22" i="2"/>
  <c r="O13" i="2"/>
  <c r="O22" i="2"/>
  <c r="L13" i="2"/>
  <c r="L22" i="2"/>
  <c r="N86" i="2" l="1"/>
  <c r="M86" i="2"/>
  <c r="O86" i="2"/>
  <c r="AN12" i="2"/>
  <c r="G23" i="2"/>
  <c r="E16" i="2"/>
  <c r="E23" i="2"/>
  <c r="Y16" i="2"/>
  <c r="Y23" i="2"/>
  <c r="Z23" i="2"/>
  <c r="Z16" i="2"/>
  <c r="AA23" i="2"/>
  <c r="AA16" i="2"/>
  <c r="AB23" i="2"/>
  <c r="AB16" i="2"/>
  <c r="AC23" i="2"/>
  <c r="AC16" i="2"/>
  <c r="AD23" i="2"/>
  <c r="AD16" i="2"/>
  <c r="AE23" i="2"/>
  <c r="AE16" i="2"/>
  <c r="B23" i="2"/>
  <c r="B16" i="2"/>
  <c r="B18" i="2" s="1"/>
  <c r="F16" i="2"/>
  <c r="F25" i="2" s="1"/>
  <c r="D23" i="2"/>
  <c r="D16" i="2"/>
  <c r="H23" i="2"/>
  <c r="H16" i="2"/>
  <c r="C16" i="2"/>
  <c r="C25" i="2" s="1"/>
  <c r="G18" i="2"/>
  <c r="I16" i="2"/>
  <c r="I23" i="2"/>
  <c r="M23" i="2"/>
  <c r="M16" i="2"/>
  <c r="AF16" i="2"/>
  <c r="AG25" i="2"/>
  <c r="AG18" i="2"/>
  <c r="AH25" i="2"/>
  <c r="AH24" i="2"/>
  <c r="AH19" i="2"/>
  <c r="J23" i="2"/>
  <c r="J16" i="2"/>
  <c r="N16" i="2"/>
  <c r="N23" i="2"/>
  <c r="K16" i="2"/>
  <c r="K23" i="2"/>
  <c r="O23" i="2"/>
  <c r="O16" i="2"/>
  <c r="L16" i="2"/>
  <c r="L23" i="2"/>
  <c r="AO12" i="2" l="1"/>
  <c r="E18" i="2"/>
  <c r="E25" i="2"/>
  <c r="Y18" i="2"/>
  <c r="Z25" i="2"/>
  <c r="Z18" i="2"/>
  <c r="AA25" i="2"/>
  <c r="AA18" i="2"/>
  <c r="AB25" i="2"/>
  <c r="AB18" i="2"/>
  <c r="AC25" i="2"/>
  <c r="AC18" i="2"/>
  <c r="AD25" i="2"/>
  <c r="AD18" i="2"/>
  <c r="AE25" i="2"/>
  <c r="AE18" i="2"/>
  <c r="B24" i="2"/>
  <c r="B19" i="2"/>
  <c r="F18" i="2"/>
  <c r="F24" i="2" s="1"/>
  <c r="D25" i="2"/>
  <c r="D18" i="2"/>
  <c r="H25" i="2"/>
  <c r="H18" i="2"/>
  <c r="C18" i="2"/>
  <c r="C24" i="2" s="1"/>
  <c r="G19" i="2"/>
  <c r="G24" i="2"/>
  <c r="I18" i="2"/>
  <c r="M25" i="2"/>
  <c r="M51" i="2" s="1"/>
  <c r="M52" i="2" s="1"/>
  <c r="M18" i="2"/>
  <c r="AF25" i="2"/>
  <c r="AF18" i="2"/>
  <c r="AG24" i="2"/>
  <c r="AG19" i="2"/>
  <c r="J25" i="2"/>
  <c r="J18" i="2"/>
  <c r="N18" i="2"/>
  <c r="N25" i="2"/>
  <c r="N51" i="2" s="1"/>
  <c r="N52" i="2" s="1"/>
  <c r="K18" i="2"/>
  <c r="O25" i="2"/>
  <c r="O51" i="2" s="1"/>
  <c r="O52" i="2" s="1"/>
  <c r="O18" i="2"/>
  <c r="L25" i="2"/>
  <c r="L18" i="2"/>
  <c r="O54" i="2" l="1"/>
  <c r="N54" i="2"/>
  <c r="AP12" i="2"/>
  <c r="E19" i="2"/>
  <c r="E24" i="2"/>
  <c r="Y24" i="2"/>
  <c r="Y19" i="2"/>
  <c r="Z19" i="2"/>
  <c r="Z24" i="2"/>
  <c r="M49" i="2"/>
  <c r="M50" i="2" s="1"/>
  <c r="AA24" i="2"/>
  <c r="AA19" i="2"/>
  <c r="AB24" i="2"/>
  <c r="AB19" i="2"/>
  <c r="AC24" i="2"/>
  <c r="AC19" i="2"/>
  <c r="AD24" i="2"/>
  <c r="AD19" i="2"/>
  <c r="AE19" i="2"/>
  <c r="AE24" i="2"/>
  <c r="F19" i="2"/>
  <c r="D24" i="2"/>
  <c r="D19" i="2"/>
  <c r="H24" i="2"/>
  <c r="H19" i="2"/>
  <c r="C19" i="2"/>
  <c r="L49" i="2"/>
  <c r="K49" i="2"/>
  <c r="J49" i="2"/>
  <c r="O49" i="2"/>
  <c r="O50" i="2" s="1"/>
  <c r="M54" i="2"/>
  <c r="N49" i="2"/>
  <c r="N50" i="2" s="1"/>
  <c r="I24" i="2"/>
  <c r="I19" i="2"/>
  <c r="M24" i="2"/>
  <c r="M19" i="2"/>
  <c r="AF24" i="2"/>
  <c r="AF19" i="2"/>
  <c r="J24" i="2"/>
  <c r="J19" i="2"/>
  <c r="N24" i="2"/>
  <c r="N19" i="2"/>
  <c r="K24" i="2"/>
  <c r="K19" i="2"/>
  <c r="O24" i="2"/>
  <c r="O19" i="2"/>
  <c r="L24" i="2"/>
  <c r="L19" i="2"/>
  <c r="AQ12" i="2" l="1"/>
  <c r="P5" i="2"/>
  <c r="AI5" i="2" s="1"/>
  <c r="AS12" i="2" l="1"/>
  <c r="AR12" i="2"/>
  <c r="P27" i="2"/>
  <c r="P7" i="2"/>
  <c r="P13" i="2" s="1"/>
  <c r="Z2" i="2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J5" i="2" l="1"/>
  <c r="AK5" i="2" s="1"/>
  <c r="AL5" i="2" s="1"/>
  <c r="AM5" i="2" s="1"/>
  <c r="AN5" i="2" s="1"/>
  <c r="AO5" i="2" s="1"/>
  <c r="AP5" i="2" s="1"/>
  <c r="AQ5" i="2" s="1"/>
  <c r="AR5" i="2" s="1"/>
  <c r="AS5" i="2" s="1"/>
  <c r="AI7" i="2"/>
  <c r="AI13" i="2" s="1"/>
  <c r="AI16" i="2" s="1"/>
  <c r="AI27" i="2"/>
  <c r="P22" i="2"/>
  <c r="P16" i="2"/>
  <c r="P23" i="2"/>
  <c r="AJ7" i="2" l="1"/>
  <c r="AJ22" i="2" s="1"/>
  <c r="AK27" i="2"/>
  <c r="AI23" i="2"/>
  <c r="AI18" i="2"/>
  <c r="AI25" i="2"/>
  <c r="AI22" i="2"/>
  <c r="AJ27" i="2"/>
  <c r="AL27" i="2"/>
  <c r="AK7" i="2"/>
  <c r="P25" i="2"/>
  <c r="P51" i="2" s="1"/>
  <c r="P52" i="2" s="1"/>
  <c r="P18" i="2"/>
  <c r="R49" i="2" s="1"/>
  <c r="Q49" i="2" l="1"/>
  <c r="Q50" i="2" s="1"/>
  <c r="AJ13" i="2"/>
  <c r="AJ23" i="2" s="1"/>
  <c r="AI19" i="2"/>
  <c r="AI54" i="2"/>
  <c r="AJ14" i="2"/>
  <c r="AI24" i="2"/>
  <c r="AK22" i="2"/>
  <c r="AM27" i="2"/>
  <c r="AL7" i="2"/>
  <c r="P54" i="2"/>
  <c r="P49" i="2"/>
  <c r="P50" i="2" s="1"/>
  <c r="P24" i="2"/>
  <c r="P19" i="2"/>
  <c r="AJ16" i="2" l="1"/>
  <c r="AJ17" i="2" s="1"/>
  <c r="AJ25" i="2" s="1"/>
  <c r="AK13" i="2"/>
  <c r="AK23" i="2" s="1"/>
  <c r="AL22" i="2"/>
  <c r="AL13" i="2"/>
  <c r="AL23" i="2" s="1"/>
  <c r="AN27" i="2"/>
  <c r="AM7" i="2"/>
  <c r="AJ18" i="2" l="1"/>
  <c r="AM22" i="2"/>
  <c r="AM13" i="2"/>
  <c r="AM23" i="2" s="1"/>
  <c r="AO27" i="2"/>
  <c r="AN7" i="2"/>
  <c r="AJ24" i="2" l="1"/>
  <c r="AJ30" i="2"/>
  <c r="AN22" i="2"/>
  <c r="AN13" i="2"/>
  <c r="AN23" i="2" s="1"/>
  <c r="AP27" i="2"/>
  <c r="AO7" i="2"/>
  <c r="AK14" i="2" l="1"/>
  <c r="AK16" i="2" s="1"/>
  <c r="AK17" i="2" s="1"/>
  <c r="AK25" i="2" s="1"/>
  <c r="AO13" i="2"/>
  <c r="AO23" i="2" s="1"/>
  <c r="AO22" i="2"/>
  <c r="AQ27" i="2"/>
  <c r="AP7" i="2"/>
  <c r="AP13" i="2" l="1"/>
  <c r="AP23" i="2" s="1"/>
  <c r="AK18" i="2"/>
  <c r="AP22" i="2"/>
  <c r="AR27" i="2"/>
  <c r="AQ7" i="2"/>
  <c r="AK24" i="2" l="1"/>
  <c r="AK30" i="2"/>
  <c r="AQ22" i="2"/>
  <c r="AQ13" i="2"/>
  <c r="AQ23" i="2" s="1"/>
  <c r="AR7" i="2"/>
  <c r="AL14" i="2" l="1"/>
  <c r="AL16" i="2" s="1"/>
  <c r="AL17" i="2" s="1"/>
  <c r="AL25" i="2" s="1"/>
  <c r="AR22" i="2"/>
  <c r="AR13" i="2"/>
  <c r="AR23" i="2" s="1"/>
  <c r="AS7" i="2"/>
  <c r="AS27" i="2"/>
  <c r="AL18" i="2" l="1"/>
  <c r="AS22" i="2"/>
  <c r="AS13" i="2"/>
  <c r="AS23" i="2" s="1"/>
  <c r="AL24" i="2" l="1"/>
  <c r="AL30" i="2"/>
  <c r="AM14" i="2" s="1"/>
  <c r="AM16" i="2" l="1"/>
  <c r="AM17" i="2" l="1"/>
  <c r="AM25" i="2" s="1"/>
  <c r="AM18" i="2" l="1"/>
  <c r="AM24" i="2" s="1"/>
  <c r="AM30" i="2" l="1"/>
  <c r="AN14" i="2" l="1"/>
  <c r="AN16" i="2" s="1"/>
  <c r="AN17" i="2" s="1"/>
  <c r="AN25" i="2" s="1"/>
  <c r="AN18" i="2" l="1"/>
  <c r="AN24" i="2" s="1"/>
  <c r="AN30" i="2" l="1"/>
  <c r="AO14" i="2" l="1"/>
  <c r="AO16" i="2" s="1"/>
  <c r="AO17" i="2" s="1"/>
  <c r="AO25" i="2" s="1"/>
  <c r="AO18" i="2" l="1"/>
  <c r="AO24" i="2" s="1"/>
  <c r="AO30" i="2" l="1"/>
  <c r="AP14" i="2" l="1"/>
  <c r="AP16" i="2" s="1"/>
  <c r="AP17" i="2" s="1"/>
  <c r="AP25" i="2" s="1"/>
  <c r="AP18" i="2" l="1"/>
  <c r="AP24" i="2" l="1"/>
  <c r="AP30" i="2"/>
  <c r="AQ14" i="2" s="1"/>
  <c r="AQ16" i="2" l="1"/>
  <c r="AQ17" i="2" l="1"/>
  <c r="AQ25" i="2" s="1"/>
  <c r="AQ18" i="2" l="1"/>
  <c r="AQ24" i="2" s="1"/>
  <c r="AQ30" i="2" l="1"/>
  <c r="AR14" i="2" l="1"/>
  <c r="AR16" i="2" s="1"/>
  <c r="AR17" i="2" s="1"/>
  <c r="AR25" i="2" s="1"/>
  <c r="AR18" i="2" l="1"/>
  <c r="AR30" i="2" s="1"/>
  <c r="AS14" i="2" s="1"/>
  <c r="AR24" i="2" l="1"/>
  <c r="AS16" i="2"/>
  <c r="AS17" i="2" l="1"/>
  <c r="AS25" i="2" s="1"/>
  <c r="AS18" i="2" l="1"/>
  <c r="AS24" i="2" s="1"/>
  <c r="L5" i="1"/>
  <c r="L8" i="1" l="1"/>
  <c r="AT18" i="2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X18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DO18" i="2" s="1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EA18" i="2" s="1"/>
  <c r="EB18" i="2" s="1"/>
  <c r="EC18" i="2" s="1"/>
  <c r="ED18" i="2" s="1"/>
  <c r="EE18" i="2" s="1"/>
  <c r="EF18" i="2" s="1"/>
  <c r="EG18" i="2" s="1"/>
  <c r="EH18" i="2" s="1"/>
  <c r="EI18" i="2" s="1"/>
  <c r="EJ18" i="2" s="1"/>
  <c r="EK18" i="2" s="1"/>
  <c r="EL18" i="2" s="1"/>
  <c r="EM18" i="2" s="1"/>
  <c r="EN18" i="2" s="1"/>
  <c r="EO18" i="2" s="1"/>
  <c r="EP18" i="2" s="1"/>
  <c r="AV25" i="2" s="1"/>
  <c r="AV26" i="2" s="1"/>
  <c r="AV27" i="2" s="1"/>
  <c r="AS30" i="2"/>
  <c r="L10" i="1" l="1"/>
  <c r="AI8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 Hesselberth</author>
    <author>Fidel</author>
  </authors>
  <commentList>
    <comment ref="Q5" authorId="0" shapeId="0" xr:uid="{0614CBE6-F236-438D-AE14-FB1FBEEFD1E3}">
      <text>
        <r>
          <rPr>
            <b/>
            <sz val="9"/>
            <color indexed="81"/>
            <rFont val="Tahoma"/>
            <family val="2"/>
          </rPr>
          <t>Dennis Hesselberth:</t>
        </r>
        <r>
          <rPr>
            <sz val="9"/>
            <color indexed="81"/>
            <rFont val="Tahoma"/>
            <family val="2"/>
          </rPr>
          <t xml:space="preserve">
Guidance
181.5B - 188.5B</t>
        </r>
      </text>
    </comment>
    <comment ref="R5" authorId="1" shapeId="0" xr:uid="{05BB9FE0-F4C3-447F-9A6F-83B1E22BAD0C}">
      <text>
        <r>
          <rPr>
            <b/>
            <sz val="9"/>
            <color indexed="81"/>
            <rFont val="Tahoma"/>
            <family val="2"/>
          </rPr>
          <t>Fidel:</t>
        </r>
        <r>
          <rPr>
            <sz val="9"/>
            <color indexed="81"/>
            <rFont val="Tahoma"/>
            <family val="2"/>
          </rPr>
          <t xml:space="preserve">
Guidance:
$151.0 billion and $155.5 billion</t>
        </r>
      </text>
    </comment>
    <comment ref="S5" authorId="1" shapeId="0" xr:uid="{EEC44470-9EED-43F2-AF29-94AAA461D82D}">
      <text>
        <r>
          <rPr>
            <b/>
            <sz val="9"/>
            <color indexed="81"/>
            <rFont val="Tahoma"/>
            <charset val="1"/>
          </rPr>
          <t>Fidel:</t>
        </r>
        <r>
          <rPr>
            <sz val="9"/>
            <color indexed="81"/>
            <rFont val="Tahoma"/>
            <charset val="1"/>
          </rPr>
          <t xml:space="preserve">
Guidance:
$159.0 billion and $164.0 billion</t>
        </r>
      </text>
    </comment>
    <comment ref="AI5" authorId="0" shapeId="0" xr:uid="{24DD0FC1-5F54-4225-AE60-5B9E3E5A93E8}">
      <text>
        <r>
          <rPr>
            <b/>
            <sz val="9"/>
            <color indexed="81"/>
            <rFont val="Tahoma"/>
            <family val="2"/>
          </rPr>
          <t>Dennis Hesselberth:</t>
        </r>
        <r>
          <rPr>
            <sz val="9"/>
            <color indexed="81"/>
            <rFont val="Tahoma"/>
            <family val="2"/>
          </rPr>
          <t xml:space="preserve">
Guidance
631.6B - 638.5B</t>
        </r>
      </text>
    </comment>
    <comment ref="Q13" authorId="0" shapeId="0" xr:uid="{647C8837-F67F-4A2E-8050-C9656756DBE7}">
      <text>
        <r>
          <rPr>
            <b/>
            <sz val="9"/>
            <color indexed="81"/>
            <rFont val="Tahoma"/>
            <family val="2"/>
          </rPr>
          <t>Dennis Hesselberth:</t>
        </r>
        <r>
          <rPr>
            <sz val="9"/>
            <color indexed="81"/>
            <rFont val="Tahoma"/>
            <family val="2"/>
          </rPr>
          <t xml:space="preserve">
Guidance
16B - 20B</t>
        </r>
      </text>
    </comment>
    <comment ref="R13" authorId="1" shapeId="0" xr:uid="{63A74DF1-2A1D-46B0-8555-54C9038B8BFE}">
      <text>
        <r>
          <rPr>
            <b/>
            <sz val="9"/>
            <color indexed="81"/>
            <rFont val="Tahoma"/>
            <family val="2"/>
          </rPr>
          <t>Fidel:</t>
        </r>
        <r>
          <rPr>
            <sz val="9"/>
            <color indexed="81"/>
            <rFont val="Tahoma"/>
            <family val="2"/>
          </rPr>
          <t xml:space="preserve">
Guidance:
$14.0 billion and $18.0 billion</t>
        </r>
      </text>
    </comment>
    <comment ref="S13" authorId="1" shapeId="0" xr:uid="{5CB5143C-2E2E-46DD-B584-3DC97E1AD075}">
      <text>
        <r>
          <rPr>
            <b/>
            <sz val="9"/>
            <color indexed="81"/>
            <rFont val="Tahoma"/>
            <charset val="1"/>
          </rPr>
          <t>Fidel:</t>
        </r>
        <r>
          <rPr>
            <sz val="9"/>
            <color indexed="81"/>
            <rFont val="Tahoma"/>
            <charset val="1"/>
          </rPr>
          <t xml:space="preserve">
Guidance:
$13.0 billion and $17.5 billion</t>
        </r>
      </text>
    </comment>
  </commentList>
</comments>
</file>

<file path=xl/sharedStrings.xml><?xml version="1.0" encoding="utf-8"?>
<sst xmlns="http://schemas.openxmlformats.org/spreadsheetml/2006/main" count="119" uniqueCount="99">
  <si>
    <t>Revenue</t>
  </si>
  <si>
    <t>COGS</t>
  </si>
  <si>
    <t>Gross profit</t>
  </si>
  <si>
    <t>Operating expense</t>
  </si>
  <si>
    <t>Operating income</t>
  </si>
  <si>
    <t>Interest income</t>
  </si>
  <si>
    <t>Pretax</t>
  </si>
  <si>
    <t>Taxes</t>
  </si>
  <si>
    <t>Net income</t>
  </si>
  <si>
    <t>EPS</t>
  </si>
  <si>
    <t>Shares</t>
  </si>
  <si>
    <t>Gross margin</t>
  </si>
  <si>
    <t>Operating margin</t>
  </si>
  <si>
    <t>Net margin</t>
  </si>
  <si>
    <t>Tax rate</t>
  </si>
  <si>
    <t>Revenue y/y</t>
  </si>
  <si>
    <t>Q121</t>
  </si>
  <si>
    <t>Q222</t>
  </si>
  <si>
    <t>Q322</t>
  </si>
  <si>
    <t>Q221</t>
  </si>
  <si>
    <t>Q321</t>
  </si>
  <si>
    <t>Q421</t>
  </si>
  <si>
    <t>Q122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</si>
  <si>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</si>
  <si>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</si>
  <si>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</si>
  <si>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</si>
  <si>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</si>
  <si>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</si>
  <si>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</si>
  <si>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</si>
  <si>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</si>
  <si>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Price</t>
  </si>
  <si>
    <t>MC</t>
  </si>
  <si>
    <t>Cash</t>
  </si>
  <si>
    <t>Debt</t>
  </si>
  <si>
    <t>EV</t>
  </si>
  <si>
    <t>Service sales</t>
  </si>
  <si>
    <t>Product sales</t>
  </si>
  <si>
    <t>Fullfillment</t>
  </si>
  <si>
    <t>Technologie &amp; infrastructure</t>
  </si>
  <si>
    <t>S&amp;M</t>
  </si>
  <si>
    <t>G&amp;A</t>
  </si>
  <si>
    <t>Interest expense</t>
  </si>
  <si>
    <t>Net cash</t>
  </si>
  <si>
    <t>A/R</t>
  </si>
  <si>
    <t>PP&amp;E</t>
  </si>
  <si>
    <t>Leases</t>
  </si>
  <si>
    <t>Goodwill</t>
  </si>
  <si>
    <t>Other</t>
  </si>
  <si>
    <t>Assets</t>
  </si>
  <si>
    <t>A/P</t>
  </si>
  <si>
    <t>Accrued expenses</t>
  </si>
  <si>
    <t>Unearned revenue</t>
  </si>
  <si>
    <t>S/E</t>
  </si>
  <si>
    <t>L+S/E</t>
  </si>
  <si>
    <t>Liabilties</t>
  </si>
  <si>
    <t>Model NI</t>
  </si>
  <si>
    <t>Reported NI</t>
  </si>
  <si>
    <t>D&amp;A</t>
  </si>
  <si>
    <t>SBC</t>
  </si>
  <si>
    <t>Non operating expense</t>
  </si>
  <si>
    <t>D/T</t>
  </si>
  <si>
    <t>Inventories</t>
  </si>
  <si>
    <t>Accrued expense</t>
  </si>
  <si>
    <t>CFFO</t>
  </si>
  <si>
    <t>Working capital</t>
  </si>
  <si>
    <t>CapEx</t>
  </si>
  <si>
    <t>FCF</t>
  </si>
  <si>
    <t>TTM FCF</t>
  </si>
  <si>
    <t>TTM NI</t>
  </si>
  <si>
    <t>NOPAT</t>
  </si>
  <si>
    <t>ROIC</t>
  </si>
  <si>
    <t>FCF-SBC</t>
  </si>
  <si>
    <t>TTM FCF-SBC</t>
  </si>
  <si>
    <t>N/A</t>
  </si>
  <si>
    <t>CAGR</t>
  </si>
  <si>
    <t>Terminal value</t>
  </si>
  <si>
    <t>Discount rate</t>
  </si>
  <si>
    <t>NPV</t>
  </si>
  <si>
    <t>Founded</t>
  </si>
  <si>
    <t>Founders</t>
  </si>
  <si>
    <t>Jeff Bezos</t>
  </si>
  <si>
    <t>Share</t>
  </si>
  <si>
    <t>Q125</t>
  </si>
  <si>
    <t>Q225</t>
  </si>
  <si>
    <t>Q325</t>
  </si>
  <si>
    <t>Q425</t>
  </si>
  <si>
    <t>Upside</t>
  </si>
  <si>
    <t>EV/FCF</t>
  </si>
  <si>
    <t>ROTA</t>
  </si>
  <si>
    <t>Acquisitions</t>
  </si>
  <si>
    <t>Securities</t>
  </si>
  <si>
    <t>CFFI</t>
  </si>
  <si>
    <t>Sales</t>
  </si>
  <si>
    <t>Obligations</t>
  </si>
  <si>
    <t>CFFF</t>
  </si>
  <si>
    <t>FX</t>
  </si>
  <si>
    <t>CIC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</si>
</sst>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x"/>
    <numFmt numFmtId="165" formatCode="d/mm/yy;@"/>
  </numFmts>
  <fonts count="13" x14ac:knownFonts="1">
    <font>
      <sz val="11"/>
      <color theme="1"/>
      <name val="Consolas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3" fontId="7" fillId="0" borderId="0" xfId="0" applyNumberFormat="1" applyFont="1" applyAlignment="1">
      <alignment horizontal="right"/>
    </xf>
    <xf numFmtId="3" fontId="7" fillId="0" borderId="0" xfId="0" applyNumberFormat="1" applyFont="1"/>
    <xf numFmtId="0" fontId="7" fillId="0" borderId="0" xfId="0" applyFont="1"/>
    <xf numFmtId="3" fontId="10" fillId="0" borderId="0" xfId="0" applyNumberFormat="1" applyFont="1" applyAlignment="1">
      <alignment horizontal="center"/>
    </xf>
    <xf numFmtId="3" fontId="10" fillId="0" borderId="0" xfId="0" applyNumberFormat="1" applyFont="1"/>
    <xf numFmtId="9" fontId="7" fillId="0" borderId="0" xfId="0" applyNumberFormat="1" applyFont="1" applyAlignment="1">
      <alignment horizontal="center"/>
    </xf>
    <xf numFmtId="4" fontId="7" fillId="0" borderId="0" xfId="0" applyNumberFormat="1" applyFont="1"/>
    <xf numFmtId="9" fontId="7" fillId="0" borderId="0" xfId="0" applyNumberFormat="1" applyFont="1"/>
    <xf numFmtId="9" fontId="7" fillId="0" borderId="0" xfId="0" applyNumberFormat="1" applyFont="1" applyAlignment="1">
      <alignment horizontal="right"/>
    </xf>
    <xf numFmtId="9" fontId="10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/>
    <xf numFmtId="164" fontId="7" fillId="0" borderId="0" xfId="0" applyNumberFormat="1" applyFont="1"/>
    <xf numFmtId="2" fontId="7" fillId="0" borderId="0" xfId="0" applyNumberFormat="1" applyFont="1"/>
    <xf numFmtId="0" fontId="6" fillId="0" borderId="0" xfId="0" applyFont="1"/>
    <xf numFmtId="3" fontId="5" fillId="0" borderId="0" xfId="0" applyNumberFormat="1" applyFont="1"/>
    <xf numFmtId="165" fontId="7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right"/>
    </xf>
    <xf numFmtId="0" fontId="3" fillId="0" borderId="0" xfId="0" applyFont="1"/>
    <xf numFmtId="3" fontId="4" fillId="0" borderId="0" xfId="0" applyNumberFormat="1" applyFont="1"/>
    <xf numFmtId="3" fontId="2" fillId="0" borderId="0" xfId="0" applyNumberFormat="1" applyFont="1"/>
    <xf numFmtId="9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6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0</xdr:row>
      <xdr:rowOff>0</xdr:rowOff>
    </xdr:from>
    <xdr:to>
      <xdr:col>18</xdr:col>
      <xdr:colOff>28575</xdr:colOff>
      <xdr:row>86</xdr:row>
      <xdr:rowOff>142875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582E65BC-4CE4-D46C-A6B1-90F98D180FFB}"/>
            </a:ext>
          </a:extLst>
        </xdr:cNvPr>
        <xdr:cNvCxnSpPr/>
      </xdr:nvCxnSpPr>
      <xdr:spPr>
        <a:xfrm>
          <a:off x="13230225" y="0"/>
          <a:ext cx="0" cy="1228725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28575</xdr:colOff>
      <xdr:row>0</xdr:row>
      <xdr:rowOff>9525</xdr:rowOff>
    </xdr:from>
    <xdr:to>
      <xdr:col>35</xdr:col>
      <xdr:colOff>28575</xdr:colOff>
      <xdr:row>88</xdr:row>
      <xdr:rowOff>133350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E218AC5-F254-4807-8AB8-AB7BB311AA4B}"/>
            </a:ext>
          </a:extLst>
        </xdr:cNvPr>
        <xdr:cNvCxnSpPr/>
      </xdr:nvCxnSpPr>
      <xdr:spPr>
        <a:xfrm>
          <a:off x="25050750" y="9525"/>
          <a:ext cx="0" cy="14373225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D9BC6-440F-4876-AF88-8BE97D96E3E9}">
  <dimension ref="C3:M13"/>
  <sheetViews>
    <sheetView tabSelected="1" topLeftCell="C1" workbookViewId="0">
      <selection activeCell="I26" sqref="I26"/>
    </sheetView>
  </sheetViews>
  <sheetFormatPr defaultRowHeight="12.75" x14ac:dyDescent="0.2"/>
  <cols>
    <col min="1" max="11" width="9" style="3"/>
    <col min="12" max="12" width="9.875" style="3" bestFit="1" customWidth="1"/>
    <col min="13" max="16384" width="9" style="3"/>
  </cols>
  <sheetData>
    <row r="3" spans="3:13" x14ac:dyDescent="0.2">
      <c r="K3" s="3" t="s">
        <v>32</v>
      </c>
      <c r="L3" s="14">
        <v>192.6</v>
      </c>
      <c r="M3" s="11"/>
    </row>
    <row r="4" spans="3:13" x14ac:dyDescent="0.2">
      <c r="C4" s="12"/>
      <c r="K4" s="3" t="s">
        <v>10</v>
      </c>
      <c r="L4" s="2">
        <f>+Model!R20</f>
        <v>10793</v>
      </c>
      <c r="M4" s="25" t="s">
        <v>84</v>
      </c>
    </row>
    <row r="5" spans="3:13" x14ac:dyDescent="0.2">
      <c r="D5" s="2"/>
      <c r="E5" s="2"/>
      <c r="K5" s="3" t="s">
        <v>33</v>
      </c>
      <c r="L5" s="2">
        <f>+L3*L4</f>
        <v>2078731.8</v>
      </c>
      <c r="M5" s="11"/>
    </row>
    <row r="6" spans="3:13" x14ac:dyDescent="0.2">
      <c r="D6" s="8"/>
      <c r="E6" s="8"/>
      <c r="K6" s="3" t="s">
        <v>34</v>
      </c>
      <c r="L6" s="2">
        <f>+Model!R31</f>
        <v>94565</v>
      </c>
      <c r="M6" s="25" t="s">
        <v>84</v>
      </c>
    </row>
    <row r="7" spans="3:13" x14ac:dyDescent="0.2">
      <c r="D7" s="2"/>
      <c r="E7" s="2"/>
      <c r="K7" s="3" t="s">
        <v>35</v>
      </c>
      <c r="L7" s="2">
        <f>+Model!R43</f>
        <v>53374</v>
      </c>
      <c r="M7" s="25" t="s">
        <v>84</v>
      </c>
    </row>
    <row r="8" spans="3:13" x14ac:dyDescent="0.2">
      <c r="K8" s="3" t="s">
        <v>36</v>
      </c>
      <c r="L8" s="2">
        <f>+L5-L6+L7</f>
        <v>2037540.8</v>
      </c>
      <c r="M8" s="11"/>
    </row>
    <row r="9" spans="3:13" x14ac:dyDescent="0.2">
      <c r="K9" s="20"/>
      <c r="L9" s="2">
        <v>63630</v>
      </c>
      <c r="M9" s="11"/>
    </row>
    <row r="10" spans="3:13" x14ac:dyDescent="0.2">
      <c r="L10" s="13">
        <f>+L8/L9</f>
        <v>32.021700455759863</v>
      </c>
      <c r="M10" s="11"/>
    </row>
    <row r="12" spans="3:13" x14ac:dyDescent="0.2">
      <c r="K12" s="15" t="s">
        <v>80</v>
      </c>
      <c r="L12" s="3">
        <v>1994</v>
      </c>
    </row>
    <row r="13" spans="3:13" x14ac:dyDescent="0.2">
      <c r="K13" s="15" t="s">
        <v>81</v>
      </c>
      <c r="L13" s="26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53FDB-6915-4B8A-9BD5-0082C8AE78A7}">
  <dimension ref="A1:EP88"/>
  <sheetViews>
    <sheetView workbookViewId="0">
      <pane xSplit="1" ySplit="2" topLeftCell="AB3" activePane="bottomRight" state="frozen"/>
      <selection pane="topRight" activeCell="B1" sqref="B1"/>
      <selection pane="bottomLeft" activeCell="A3" sqref="A3"/>
      <selection pane="bottomRight" activeCell="AH99" sqref="AH99"/>
    </sheetView>
  </sheetViews>
  <sheetFormatPr defaultColWidth="9.125" defaultRowHeight="12.75" x14ac:dyDescent="0.2"/>
  <cols>
    <col min="1" max="1" width="18.125" style="2" bestFit="1" customWidth="1"/>
    <col min="2" max="46" width="9.125" style="2"/>
    <col min="47" max="47" width="11.125" style="2" bestFit="1" customWidth="1"/>
    <col min="48" max="16384" width="9.125" style="2"/>
  </cols>
  <sheetData>
    <row r="1" spans="1:45" s="17" customFormat="1" x14ac:dyDescent="0.2">
      <c r="B1" s="17">
        <v>45382</v>
      </c>
      <c r="C1" s="17">
        <v>45473</v>
      </c>
      <c r="D1" s="17">
        <v>45565</v>
      </c>
      <c r="E1" s="17">
        <v>45657</v>
      </c>
      <c r="F1" s="17">
        <v>45382</v>
      </c>
      <c r="G1" s="17">
        <v>45473</v>
      </c>
      <c r="H1" s="17">
        <v>45565</v>
      </c>
      <c r="I1" s="17">
        <v>45657</v>
      </c>
      <c r="J1" s="17">
        <v>45382</v>
      </c>
      <c r="K1" s="17">
        <v>45473</v>
      </c>
      <c r="L1" s="17">
        <v>45565</v>
      </c>
      <c r="M1" s="17">
        <v>45657</v>
      </c>
      <c r="N1" s="17">
        <v>45382</v>
      </c>
      <c r="O1" s="17">
        <v>45473</v>
      </c>
      <c r="P1" s="17">
        <v>45565</v>
      </c>
      <c r="Q1" s="17">
        <v>45657</v>
      </c>
      <c r="R1" s="17">
        <v>45747</v>
      </c>
    </row>
    <row r="2" spans="1:45" x14ac:dyDescent="0.2">
      <c r="A2" s="1"/>
      <c r="B2" s="1" t="s">
        <v>16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17</v>
      </c>
      <c r="H2" s="1" t="s">
        <v>18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28</v>
      </c>
      <c r="O2" s="1" t="s">
        <v>29</v>
      </c>
      <c r="P2" s="1" t="s">
        <v>30</v>
      </c>
      <c r="Q2" s="1" t="s">
        <v>31</v>
      </c>
      <c r="R2" s="19" t="s">
        <v>84</v>
      </c>
      <c r="S2" s="19" t="s">
        <v>85</v>
      </c>
      <c r="T2" s="19" t="s">
        <v>86</v>
      </c>
      <c r="U2" s="19" t="s">
        <v>87</v>
      </c>
      <c r="V2" s="1"/>
      <c r="W2" s="1"/>
      <c r="Y2" s="3">
        <v>2014</v>
      </c>
      <c r="Z2" s="3">
        <f>+Y2+1</f>
        <v>2015</v>
      </c>
      <c r="AA2" s="3">
        <f t="shared" ref="AA2:AS2" si="0">+Z2+1</f>
        <v>2016</v>
      </c>
      <c r="AB2" s="3">
        <f t="shared" si="0"/>
        <v>2017</v>
      </c>
      <c r="AC2" s="3">
        <f t="shared" si="0"/>
        <v>2018</v>
      </c>
      <c r="AD2" s="3">
        <f t="shared" si="0"/>
        <v>2019</v>
      </c>
      <c r="AE2" s="3">
        <f t="shared" si="0"/>
        <v>2020</v>
      </c>
      <c r="AF2" s="3">
        <f t="shared" si="0"/>
        <v>2021</v>
      </c>
      <c r="AG2" s="3">
        <f t="shared" si="0"/>
        <v>2022</v>
      </c>
      <c r="AH2" s="3">
        <f t="shared" si="0"/>
        <v>2023</v>
      </c>
      <c r="AI2" s="3">
        <f t="shared" si="0"/>
        <v>2024</v>
      </c>
      <c r="AJ2" s="3">
        <f t="shared" si="0"/>
        <v>2025</v>
      </c>
      <c r="AK2" s="3">
        <f t="shared" si="0"/>
        <v>2026</v>
      </c>
      <c r="AL2" s="3">
        <f t="shared" si="0"/>
        <v>2027</v>
      </c>
      <c r="AM2" s="3">
        <f t="shared" si="0"/>
        <v>2028</v>
      </c>
      <c r="AN2" s="3">
        <f t="shared" si="0"/>
        <v>2029</v>
      </c>
      <c r="AO2" s="3">
        <f t="shared" si="0"/>
        <v>2030</v>
      </c>
      <c r="AP2" s="3">
        <f t="shared" si="0"/>
        <v>2031</v>
      </c>
      <c r="AQ2" s="3">
        <f t="shared" si="0"/>
        <v>2032</v>
      </c>
      <c r="AR2" s="3">
        <f t="shared" si="0"/>
        <v>2033</v>
      </c>
      <c r="AS2" s="3">
        <f t="shared" si="0"/>
        <v>2034</v>
      </c>
    </row>
    <row r="3" spans="1:45" x14ac:dyDescent="0.2">
      <c r="A3" s="2" t="s">
        <v>38</v>
      </c>
      <c r="B3" s="2">
        <v>58004</v>
      </c>
      <c r="C3" s="2">
        <v>58004</v>
      </c>
      <c r="D3" s="2">
        <v>54876</v>
      </c>
      <c r="E3" s="2">
        <f>+AF3-SUM(B3:D3)</f>
        <v>70873</v>
      </c>
      <c r="F3" s="2">
        <v>56455</v>
      </c>
      <c r="G3" s="2">
        <v>56575</v>
      </c>
      <c r="H3" s="2">
        <v>59340</v>
      </c>
      <c r="I3" s="2">
        <v>70531</v>
      </c>
      <c r="J3" s="2">
        <v>56981</v>
      </c>
      <c r="K3" s="2">
        <v>59032</v>
      </c>
      <c r="L3" s="2">
        <v>63171</v>
      </c>
      <c r="M3" s="2">
        <v>76703</v>
      </c>
      <c r="N3" s="2">
        <v>60915</v>
      </c>
      <c r="O3" s="2">
        <v>61569</v>
      </c>
      <c r="P3" s="2">
        <v>67601</v>
      </c>
      <c r="Q3" s="2">
        <v>82226</v>
      </c>
      <c r="R3" s="2">
        <v>63970</v>
      </c>
      <c r="Y3" s="2">
        <v>70080</v>
      </c>
      <c r="Z3" s="2">
        <v>79268</v>
      </c>
      <c r="AA3" s="2">
        <v>94665</v>
      </c>
      <c r="AB3" s="2">
        <v>118573</v>
      </c>
      <c r="AC3" s="2">
        <v>141915</v>
      </c>
      <c r="AD3" s="2">
        <v>160408</v>
      </c>
      <c r="AE3" s="2">
        <v>215915</v>
      </c>
      <c r="AF3" s="2">
        <v>241757</v>
      </c>
      <c r="AG3" s="2">
        <v>242901</v>
      </c>
      <c r="AH3" s="2">
        <v>255887</v>
      </c>
      <c r="AI3" s="2">
        <f>+SUM(N3:Q3)</f>
        <v>272311</v>
      </c>
    </row>
    <row r="4" spans="1:45" x14ac:dyDescent="0.2">
      <c r="A4" s="2" t="s">
        <v>37</v>
      </c>
      <c r="B4" s="2">
        <v>55076</v>
      </c>
      <c r="C4" s="2">
        <v>55076</v>
      </c>
      <c r="D4" s="2">
        <v>55936</v>
      </c>
      <c r="E4" s="2">
        <f>+AF4-SUM(B4:D4)</f>
        <v>61947</v>
      </c>
      <c r="F4" s="2">
        <v>59989</v>
      </c>
      <c r="G4" s="2">
        <v>64659</v>
      </c>
      <c r="H4" s="2">
        <v>67761</v>
      </c>
      <c r="I4" s="2">
        <v>78673</v>
      </c>
      <c r="J4" s="2">
        <v>70377</v>
      </c>
      <c r="K4" s="2">
        <v>75351</v>
      </c>
      <c r="L4" s="2">
        <v>79912</v>
      </c>
      <c r="M4" s="2">
        <v>93258</v>
      </c>
      <c r="N4" s="2">
        <v>82398</v>
      </c>
      <c r="O4" s="2">
        <v>86408</v>
      </c>
      <c r="P4" s="2">
        <v>91276</v>
      </c>
      <c r="Q4" s="2">
        <v>105566</v>
      </c>
      <c r="R4" s="2">
        <v>91697</v>
      </c>
      <c r="W4" s="4" t="s">
        <v>76</v>
      </c>
      <c r="Y4" s="2">
        <v>18908</v>
      </c>
      <c r="Z4" s="2">
        <v>27738</v>
      </c>
      <c r="AA4" s="2">
        <v>41322</v>
      </c>
      <c r="AB4" s="2">
        <v>59293</v>
      </c>
      <c r="AC4" s="2">
        <v>90972</v>
      </c>
      <c r="AD4" s="2">
        <v>120114</v>
      </c>
      <c r="AE4" s="2">
        <v>170149</v>
      </c>
      <c r="AF4" s="2">
        <v>228035</v>
      </c>
      <c r="AG4" s="2">
        <v>271082</v>
      </c>
      <c r="AH4" s="2">
        <v>318898</v>
      </c>
      <c r="AI4" s="2">
        <f>+SUM(N4:Q4)</f>
        <v>365648</v>
      </c>
    </row>
    <row r="5" spans="1:45" s="5" customFormat="1" x14ac:dyDescent="0.2">
      <c r="A5" s="5" t="s">
        <v>0</v>
      </c>
      <c r="B5" s="5">
        <f t="shared" ref="B5:H5" si="1">+B3+B4</f>
        <v>113080</v>
      </c>
      <c r="C5" s="5">
        <f t="shared" si="1"/>
        <v>113080</v>
      </c>
      <c r="D5" s="5">
        <f t="shared" si="1"/>
        <v>110812</v>
      </c>
      <c r="E5" s="5">
        <f t="shared" si="1"/>
        <v>132820</v>
      </c>
      <c r="F5" s="5">
        <f t="shared" si="1"/>
        <v>116444</v>
      </c>
      <c r="G5" s="5">
        <f t="shared" si="1"/>
        <v>121234</v>
      </c>
      <c r="H5" s="5">
        <f t="shared" si="1"/>
        <v>127101</v>
      </c>
      <c r="I5" s="5">
        <f t="shared" ref="I5:P5" si="2">+I3+I4</f>
        <v>149204</v>
      </c>
      <c r="J5" s="5">
        <f t="shared" si="2"/>
        <v>127358</v>
      </c>
      <c r="K5" s="5">
        <f t="shared" si="2"/>
        <v>134383</v>
      </c>
      <c r="L5" s="5">
        <f t="shared" si="2"/>
        <v>143083</v>
      </c>
      <c r="M5" s="5">
        <f t="shared" si="2"/>
        <v>169961</v>
      </c>
      <c r="N5" s="5">
        <f t="shared" si="2"/>
        <v>143313</v>
      </c>
      <c r="O5" s="5">
        <f t="shared" si="2"/>
        <v>147977</v>
      </c>
      <c r="P5" s="5">
        <f t="shared" si="2"/>
        <v>158877</v>
      </c>
      <c r="Q5" s="5">
        <f>+SUM(Q3:Q4)</f>
        <v>187792</v>
      </c>
      <c r="R5" s="5">
        <f>+SUM(R3:R4)</f>
        <v>155667</v>
      </c>
      <c r="S5" s="5">
        <v>164000</v>
      </c>
      <c r="W5" s="6">
        <f>+(AH5/Y5)^(0.1)-1</f>
        <v>0.20508421547918254</v>
      </c>
      <c r="Y5" s="5">
        <f t="shared" ref="Y5:AH5" si="3">+Y3+Y4</f>
        <v>88988</v>
      </c>
      <c r="Z5" s="5">
        <f t="shared" si="3"/>
        <v>107006</v>
      </c>
      <c r="AA5" s="5">
        <f t="shared" si="3"/>
        <v>135987</v>
      </c>
      <c r="AB5" s="5">
        <f t="shared" si="3"/>
        <v>177866</v>
      </c>
      <c r="AC5" s="5">
        <f t="shared" si="3"/>
        <v>232887</v>
      </c>
      <c r="AD5" s="5">
        <f t="shared" si="3"/>
        <v>280522</v>
      </c>
      <c r="AE5" s="5">
        <f t="shared" si="3"/>
        <v>386064</v>
      </c>
      <c r="AF5" s="5">
        <f t="shared" si="3"/>
        <v>469792</v>
      </c>
      <c r="AG5" s="5">
        <f t="shared" si="3"/>
        <v>513983</v>
      </c>
      <c r="AH5" s="5">
        <f t="shared" si="3"/>
        <v>574785</v>
      </c>
      <c r="AI5" s="5">
        <f>+SUM(N5:Q5)</f>
        <v>637959</v>
      </c>
      <c r="AJ5" s="5">
        <f>+AI5*1.1</f>
        <v>701754.9</v>
      </c>
      <c r="AK5" s="5">
        <f t="shared" ref="AK5:AS5" si="4">+AJ5*1.1</f>
        <v>771930.39000000013</v>
      </c>
      <c r="AL5" s="5">
        <f t="shared" si="4"/>
        <v>849123.42900000024</v>
      </c>
      <c r="AM5" s="5">
        <f t="shared" si="4"/>
        <v>934035.77190000028</v>
      </c>
      <c r="AN5" s="5">
        <f t="shared" si="4"/>
        <v>1027439.3490900004</v>
      </c>
      <c r="AO5" s="5">
        <f t="shared" si="4"/>
        <v>1130183.2839990004</v>
      </c>
      <c r="AP5" s="5">
        <f t="shared" si="4"/>
        <v>1243201.6123989006</v>
      </c>
      <c r="AQ5" s="5">
        <f t="shared" si="4"/>
        <v>1367521.7736387907</v>
      </c>
      <c r="AR5" s="5">
        <f t="shared" si="4"/>
        <v>1504273.95100267</v>
      </c>
      <c r="AS5" s="5">
        <f t="shared" si="4"/>
        <v>1654701.3461029371</v>
      </c>
    </row>
    <row r="6" spans="1:45" x14ac:dyDescent="0.2">
      <c r="A6" s="2" t="s">
        <v>1</v>
      </c>
      <c r="B6" s="2">
        <v>64176</v>
      </c>
      <c r="C6" s="2">
        <v>64176</v>
      </c>
      <c r="D6" s="2">
        <v>62930</v>
      </c>
      <c r="E6" s="2">
        <f>+AF6-SUM(B6:D6)</f>
        <v>81062</v>
      </c>
      <c r="F6" s="2">
        <v>66499</v>
      </c>
      <c r="G6" s="2">
        <v>66424</v>
      </c>
      <c r="H6" s="2">
        <v>70268</v>
      </c>
      <c r="I6" s="2">
        <v>85640</v>
      </c>
      <c r="J6" s="2">
        <v>67791</v>
      </c>
      <c r="K6" s="2">
        <v>69373</v>
      </c>
      <c r="L6" s="2">
        <v>75022</v>
      </c>
      <c r="M6" s="2">
        <v>92553</v>
      </c>
      <c r="N6" s="2">
        <v>72633</v>
      </c>
      <c r="O6" s="2">
        <v>73785</v>
      </c>
      <c r="P6" s="2">
        <v>80977</v>
      </c>
      <c r="Q6" s="2">
        <v>98893</v>
      </c>
      <c r="R6" s="2">
        <v>76976</v>
      </c>
      <c r="W6" s="6">
        <f>+(AH6/Y6)^(0.1)-1</f>
        <v>0.17119725708641731</v>
      </c>
      <c r="Y6" s="2">
        <v>62752</v>
      </c>
      <c r="Z6" s="2">
        <v>71651</v>
      </c>
      <c r="AA6" s="2">
        <v>88365</v>
      </c>
      <c r="AB6" s="2">
        <v>111934</v>
      </c>
      <c r="AC6" s="2">
        <v>139156</v>
      </c>
      <c r="AD6" s="2">
        <v>165536</v>
      </c>
      <c r="AE6" s="2">
        <v>233307</v>
      </c>
      <c r="AF6" s="2">
        <v>272344</v>
      </c>
      <c r="AG6" s="2">
        <v>288831</v>
      </c>
      <c r="AH6" s="2">
        <v>304739</v>
      </c>
      <c r="AI6" s="2">
        <f>+SUM(N6:Q6)</f>
        <v>326288</v>
      </c>
      <c r="AJ6" s="2">
        <f>+AI6*1.09</f>
        <v>355653.92000000004</v>
      </c>
      <c r="AK6" s="2">
        <f t="shared" ref="AK6:AS6" si="5">+AJ6*1.09</f>
        <v>387662.77280000009</v>
      </c>
      <c r="AL6" s="2">
        <f t="shared" si="5"/>
        <v>422552.42235200014</v>
      </c>
      <c r="AM6" s="2">
        <f t="shared" si="5"/>
        <v>460582.1403636802</v>
      </c>
      <c r="AN6" s="2">
        <f t="shared" si="5"/>
        <v>502034.53299641144</v>
      </c>
      <c r="AO6" s="2">
        <f t="shared" si="5"/>
        <v>547217.64096608851</v>
      </c>
      <c r="AP6" s="2">
        <f t="shared" si="5"/>
        <v>596467.22865303652</v>
      </c>
      <c r="AQ6" s="2">
        <f t="shared" si="5"/>
        <v>650149.27923180989</v>
      </c>
      <c r="AR6" s="2">
        <f t="shared" si="5"/>
        <v>708662.71436267288</v>
      </c>
      <c r="AS6" s="2">
        <f t="shared" si="5"/>
        <v>772442.3586553135</v>
      </c>
    </row>
    <row r="7" spans="1:45" x14ac:dyDescent="0.2">
      <c r="A7" s="2" t="s">
        <v>2</v>
      </c>
      <c r="B7" s="2">
        <f t="shared" ref="B7:H7" si="6">+B5-B6</f>
        <v>48904</v>
      </c>
      <c r="C7" s="2">
        <f t="shared" si="6"/>
        <v>48904</v>
      </c>
      <c r="D7" s="2">
        <f t="shared" si="6"/>
        <v>47882</v>
      </c>
      <c r="E7" s="2">
        <f t="shared" si="6"/>
        <v>51758</v>
      </c>
      <c r="F7" s="2">
        <f t="shared" si="6"/>
        <v>49945</v>
      </c>
      <c r="G7" s="2">
        <f t="shared" si="6"/>
        <v>54810</v>
      </c>
      <c r="H7" s="2">
        <f t="shared" si="6"/>
        <v>56833</v>
      </c>
      <c r="I7" s="2">
        <f t="shared" ref="I7:R7" si="7">+I5-I6</f>
        <v>63564</v>
      </c>
      <c r="J7" s="2">
        <f t="shared" si="7"/>
        <v>59567</v>
      </c>
      <c r="K7" s="2">
        <f t="shared" si="7"/>
        <v>65010</v>
      </c>
      <c r="L7" s="2">
        <f t="shared" si="7"/>
        <v>68061</v>
      </c>
      <c r="M7" s="2">
        <f t="shared" si="7"/>
        <v>77408</v>
      </c>
      <c r="N7" s="2">
        <f t="shared" si="7"/>
        <v>70680</v>
      </c>
      <c r="O7" s="2">
        <f t="shared" si="7"/>
        <v>74192</v>
      </c>
      <c r="P7" s="2">
        <f t="shared" si="7"/>
        <v>77900</v>
      </c>
      <c r="Q7" s="2">
        <f t="shared" si="7"/>
        <v>88899</v>
      </c>
      <c r="R7" s="2">
        <f t="shared" si="7"/>
        <v>78691</v>
      </c>
      <c r="W7" s="6"/>
      <c r="Y7" s="2">
        <f t="shared" ref="Y7:AI7" si="8">+Y5-Y6</f>
        <v>26236</v>
      </c>
      <c r="Z7" s="2">
        <f t="shared" si="8"/>
        <v>35355</v>
      </c>
      <c r="AA7" s="2">
        <f t="shared" si="8"/>
        <v>47622</v>
      </c>
      <c r="AB7" s="2">
        <f t="shared" si="8"/>
        <v>65932</v>
      </c>
      <c r="AC7" s="2">
        <f t="shared" si="8"/>
        <v>93731</v>
      </c>
      <c r="AD7" s="2">
        <f t="shared" si="8"/>
        <v>114986</v>
      </c>
      <c r="AE7" s="2">
        <f t="shared" si="8"/>
        <v>152757</v>
      </c>
      <c r="AF7" s="2">
        <f t="shared" si="8"/>
        <v>197448</v>
      </c>
      <c r="AG7" s="2">
        <f t="shared" si="8"/>
        <v>225152</v>
      </c>
      <c r="AH7" s="2">
        <f t="shared" si="8"/>
        <v>270046</v>
      </c>
      <c r="AI7" s="2">
        <f t="shared" si="8"/>
        <v>311671</v>
      </c>
      <c r="AJ7" s="2">
        <f t="shared" ref="AJ7:AS7" si="9">+AJ5-AJ6</f>
        <v>346100.98</v>
      </c>
      <c r="AK7" s="2">
        <f t="shared" si="9"/>
        <v>384267.61720000004</v>
      </c>
      <c r="AL7" s="2">
        <f t="shared" si="9"/>
        <v>426571.0066480001</v>
      </c>
      <c r="AM7" s="2">
        <f t="shared" si="9"/>
        <v>473453.63153632008</v>
      </c>
      <c r="AN7" s="2">
        <f t="shared" si="9"/>
        <v>525404.81609358895</v>
      </c>
      <c r="AO7" s="2">
        <f t="shared" si="9"/>
        <v>582965.64303291193</v>
      </c>
      <c r="AP7" s="2">
        <f t="shared" si="9"/>
        <v>646734.38374586403</v>
      </c>
      <c r="AQ7" s="2">
        <f t="shared" si="9"/>
        <v>717372.49440698081</v>
      </c>
      <c r="AR7" s="2">
        <f t="shared" si="9"/>
        <v>795611.23663999711</v>
      </c>
      <c r="AS7" s="2">
        <f t="shared" si="9"/>
        <v>882258.98744762363</v>
      </c>
    </row>
    <row r="8" spans="1:45" x14ac:dyDescent="0.2">
      <c r="A8" s="2" t="s">
        <v>39</v>
      </c>
      <c r="B8" s="2">
        <v>17638</v>
      </c>
      <c r="C8" s="2">
        <v>17638</v>
      </c>
      <c r="D8" s="2">
        <v>18498</v>
      </c>
      <c r="E8" s="2">
        <f>+AF8-SUM(B8:D8)</f>
        <v>21337</v>
      </c>
      <c r="F8" s="2">
        <v>20271</v>
      </c>
      <c r="G8" s="2">
        <v>20342</v>
      </c>
      <c r="H8" s="2">
        <v>20583</v>
      </c>
      <c r="I8" s="2">
        <v>23103</v>
      </c>
      <c r="J8" s="2">
        <v>20905</v>
      </c>
      <c r="K8" s="2">
        <v>21305</v>
      </c>
      <c r="L8" s="2">
        <v>22314</v>
      </c>
      <c r="M8" s="2">
        <v>26095</v>
      </c>
      <c r="N8" s="2">
        <v>22317</v>
      </c>
      <c r="O8" s="2">
        <v>23566</v>
      </c>
      <c r="P8" s="2">
        <v>24660</v>
      </c>
      <c r="Q8" s="2">
        <v>27962</v>
      </c>
      <c r="R8" s="2">
        <v>24593</v>
      </c>
      <c r="W8" s="6">
        <f t="shared" ref="W8:W11" si="10">+(AH8/Y8)^(0.1)-1</f>
        <v>0.23741817046151081</v>
      </c>
      <c r="Y8" s="2">
        <v>10766</v>
      </c>
      <c r="Z8" s="2">
        <v>13410</v>
      </c>
      <c r="AA8" s="2">
        <v>17619</v>
      </c>
      <c r="AB8" s="2">
        <v>25249</v>
      </c>
      <c r="AC8" s="2">
        <v>34027</v>
      </c>
      <c r="AD8" s="2">
        <v>40232</v>
      </c>
      <c r="AE8" s="2">
        <v>58517</v>
      </c>
      <c r="AF8" s="2">
        <v>75111</v>
      </c>
      <c r="AG8" s="2">
        <v>84299</v>
      </c>
      <c r="AH8" s="2">
        <v>90619</v>
      </c>
      <c r="AI8" s="2">
        <f t="shared" ref="AI8:AI11" si="11">+SUM(N8:Q8)</f>
        <v>98505</v>
      </c>
      <c r="AJ8" s="2">
        <f t="shared" ref="AJ8:AS8" si="12">+AI8*1.08</f>
        <v>106385.40000000001</v>
      </c>
      <c r="AK8" s="2">
        <f t="shared" si="12"/>
        <v>114896.23200000002</v>
      </c>
      <c r="AL8" s="2">
        <f t="shared" si="12"/>
        <v>124087.93056000002</v>
      </c>
      <c r="AM8" s="2">
        <f t="shared" si="12"/>
        <v>134014.96500480003</v>
      </c>
      <c r="AN8" s="2">
        <f t="shared" si="12"/>
        <v>144736.16220518405</v>
      </c>
      <c r="AO8" s="2">
        <f t="shared" si="12"/>
        <v>156315.05518159879</v>
      </c>
      <c r="AP8" s="2">
        <f t="shared" si="12"/>
        <v>168820.25959612671</v>
      </c>
      <c r="AQ8" s="2">
        <f t="shared" si="12"/>
        <v>182325.88036381686</v>
      </c>
      <c r="AR8" s="2">
        <f t="shared" si="12"/>
        <v>196911.95079292223</v>
      </c>
      <c r="AS8" s="2">
        <f t="shared" si="12"/>
        <v>212664.90685635601</v>
      </c>
    </row>
    <row r="9" spans="1:45" x14ac:dyDescent="0.2">
      <c r="A9" s="2" t="s">
        <v>40</v>
      </c>
      <c r="B9" s="2">
        <v>13871</v>
      </c>
      <c r="C9" s="2">
        <v>13871</v>
      </c>
      <c r="D9" s="2">
        <v>14380</v>
      </c>
      <c r="E9" s="2">
        <f>+AF9-SUM(B9:D9)</f>
        <v>13930</v>
      </c>
      <c r="F9" s="2">
        <v>14842</v>
      </c>
      <c r="G9" s="2">
        <v>18072</v>
      </c>
      <c r="H9" s="2">
        <v>19485</v>
      </c>
      <c r="I9" s="2">
        <v>20814</v>
      </c>
      <c r="J9" s="2">
        <v>20450</v>
      </c>
      <c r="K9" s="2">
        <v>21931</v>
      </c>
      <c r="L9" s="2">
        <v>21203</v>
      </c>
      <c r="M9" s="2">
        <v>22038</v>
      </c>
      <c r="N9" s="2">
        <v>20421</v>
      </c>
      <c r="O9" s="2">
        <v>22304</v>
      </c>
      <c r="P9" s="2">
        <v>22245</v>
      </c>
      <c r="Q9" s="2">
        <v>23571</v>
      </c>
      <c r="R9" s="2">
        <v>22994</v>
      </c>
      <c r="W9" s="6">
        <f t="shared" si="10"/>
        <v>0.24889850283328085</v>
      </c>
      <c r="Y9" s="2">
        <v>9275</v>
      </c>
      <c r="Z9" s="2">
        <v>12540</v>
      </c>
      <c r="AA9" s="2">
        <v>16085</v>
      </c>
      <c r="AB9" s="2">
        <v>22620</v>
      </c>
      <c r="AC9" s="2">
        <v>28837</v>
      </c>
      <c r="AD9" s="2">
        <v>35931</v>
      </c>
      <c r="AE9" s="2">
        <v>42740</v>
      </c>
      <c r="AF9" s="2">
        <v>56052</v>
      </c>
      <c r="AG9" s="2">
        <v>73213</v>
      </c>
      <c r="AH9" s="2">
        <v>85622</v>
      </c>
      <c r="AI9" s="2">
        <f t="shared" si="11"/>
        <v>88541</v>
      </c>
      <c r="AJ9" s="2">
        <f t="shared" ref="AJ9:AS9" si="13">+AI9*1.12</f>
        <v>99165.920000000013</v>
      </c>
      <c r="AK9" s="2">
        <f t="shared" si="13"/>
        <v>111065.83040000002</v>
      </c>
      <c r="AL9" s="2">
        <f t="shared" si="13"/>
        <v>124393.73004800004</v>
      </c>
      <c r="AM9" s="2">
        <f t="shared" si="13"/>
        <v>139320.97765376006</v>
      </c>
      <c r="AN9" s="2">
        <f t="shared" si="13"/>
        <v>156039.49497221128</v>
      </c>
      <c r="AO9" s="2">
        <f t="shared" si="13"/>
        <v>174764.23436887664</v>
      </c>
      <c r="AP9" s="2">
        <f t="shared" si="13"/>
        <v>195735.94249314186</v>
      </c>
      <c r="AQ9" s="2">
        <f t="shared" si="13"/>
        <v>219224.25559231889</v>
      </c>
      <c r="AR9" s="2">
        <f t="shared" si="13"/>
        <v>245531.16626339717</v>
      </c>
      <c r="AS9" s="2">
        <f t="shared" si="13"/>
        <v>274994.90621500486</v>
      </c>
    </row>
    <row r="10" spans="1:45" x14ac:dyDescent="0.2">
      <c r="A10" s="2" t="s">
        <v>41</v>
      </c>
      <c r="B10" s="2">
        <v>7524</v>
      </c>
      <c r="C10" s="2">
        <v>7524</v>
      </c>
      <c r="D10" s="2">
        <v>8010</v>
      </c>
      <c r="E10" s="2">
        <f>+AF10-SUM(B10:D10)</f>
        <v>9493</v>
      </c>
      <c r="F10" s="2">
        <v>8320</v>
      </c>
      <c r="G10" s="2">
        <v>10086</v>
      </c>
      <c r="H10" s="2">
        <v>11014</v>
      </c>
      <c r="I10" s="2">
        <v>12818</v>
      </c>
      <c r="J10" s="2">
        <v>10172</v>
      </c>
      <c r="K10" s="2">
        <v>10745</v>
      </c>
      <c r="L10" s="2">
        <v>10551</v>
      </c>
      <c r="M10" s="2">
        <v>12902</v>
      </c>
      <c r="N10" s="2">
        <v>9662</v>
      </c>
      <c r="O10" s="2">
        <v>10512</v>
      </c>
      <c r="P10" s="2">
        <v>10609</v>
      </c>
      <c r="Q10" s="2">
        <v>13124</v>
      </c>
      <c r="R10" s="2">
        <v>9763</v>
      </c>
      <c r="W10" s="6">
        <f t="shared" si="10"/>
        <v>0.26194404353738454</v>
      </c>
      <c r="Y10" s="2">
        <v>4332</v>
      </c>
      <c r="Z10" s="2">
        <v>5254</v>
      </c>
      <c r="AA10" s="2">
        <v>7233</v>
      </c>
      <c r="AB10" s="2">
        <v>10069</v>
      </c>
      <c r="AC10" s="2">
        <v>13814</v>
      </c>
      <c r="AD10" s="2">
        <v>18878</v>
      </c>
      <c r="AE10" s="2">
        <v>22008</v>
      </c>
      <c r="AF10" s="2">
        <v>32551</v>
      </c>
      <c r="AG10" s="2">
        <v>42238</v>
      </c>
      <c r="AH10" s="2">
        <v>44370</v>
      </c>
      <c r="AI10" s="2">
        <f t="shared" si="11"/>
        <v>43907</v>
      </c>
      <c r="AJ10" s="2">
        <f t="shared" ref="AJ10:AS10" si="14">+AI10*1.07</f>
        <v>46980.490000000005</v>
      </c>
      <c r="AK10" s="2">
        <f t="shared" si="14"/>
        <v>50269.12430000001</v>
      </c>
      <c r="AL10" s="2">
        <f t="shared" si="14"/>
        <v>53787.963001000011</v>
      </c>
      <c r="AM10" s="2">
        <f t="shared" si="14"/>
        <v>57553.120411070013</v>
      </c>
      <c r="AN10" s="2">
        <f t="shared" si="14"/>
        <v>61581.838839844917</v>
      </c>
      <c r="AO10" s="2">
        <f t="shared" si="14"/>
        <v>65892.567558634066</v>
      </c>
      <c r="AP10" s="2">
        <f t="shared" si="14"/>
        <v>70505.04728773846</v>
      </c>
      <c r="AQ10" s="2">
        <f t="shared" si="14"/>
        <v>75440.400597880158</v>
      </c>
      <c r="AR10" s="2">
        <f t="shared" si="14"/>
        <v>80721.22863973178</v>
      </c>
      <c r="AS10" s="2">
        <f t="shared" si="14"/>
        <v>86371.714644513006</v>
      </c>
    </row>
    <row r="11" spans="1:45" x14ac:dyDescent="0.2">
      <c r="A11" s="2" t="s">
        <v>42</v>
      </c>
      <c r="B11" s="2">
        <v>2158</v>
      </c>
      <c r="C11" s="2">
        <v>2158</v>
      </c>
      <c r="D11" s="2">
        <v>2153</v>
      </c>
      <c r="E11" s="2">
        <f>+AF11-SUM(B11:D11)</f>
        <v>2354</v>
      </c>
      <c r="F11" s="2">
        <v>2594</v>
      </c>
      <c r="G11" s="2">
        <v>2903</v>
      </c>
      <c r="H11" s="2">
        <v>3061</v>
      </c>
      <c r="I11" s="2">
        <v>3333</v>
      </c>
      <c r="J11" s="2">
        <v>3043</v>
      </c>
      <c r="K11" s="2">
        <v>3202</v>
      </c>
      <c r="L11" s="2">
        <v>2561</v>
      </c>
      <c r="M11" s="2">
        <v>3010</v>
      </c>
      <c r="N11" s="2">
        <v>2742</v>
      </c>
      <c r="O11" s="2">
        <v>3041</v>
      </c>
      <c r="P11" s="2">
        <v>2713</v>
      </c>
      <c r="Q11" s="2">
        <v>2863</v>
      </c>
      <c r="R11" s="2">
        <v>2628</v>
      </c>
      <c r="W11" s="6">
        <f t="shared" si="10"/>
        <v>0.22506145777049524</v>
      </c>
      <c r="Y11" s="2">
        <v>1552</v>
      </c>
      <c r="Z11" s="2">
        <v>1747</v>
      </c>
      <c r="AA11" s="2">
        <v>2432</v>
      </c>
      <c r="AB11" s="2">
        <v>3674</v>
      </c>
      <c r="AC11" s="2">
        <v>4336</v>
      </c>
      <c r="AD11" s="2">
        <v>5203</v>
      </c>
      <c r="AE11" s="2">
        <v>6668</v>
      </c>
      <c r="AF11" s="2">
        <v>8823</v>
      </c>
      <c r="AG11" s="2">
        <v>11891</v>
      </c>
      <c r="AH11" s="2">
        <v>11816</v>
      </c>
      <c r="AI11" s="2">
        <f t="shared" si="11"/>
        <v>11359</v>
      </c>
      <c r="AJ11" s="16">
        <f t="shared" ref="AJ11:AS11" si="15">+AI11*1.06</f>
        <v>12040.54</v>
      </c>
      <c r="AK11" s="16">
        <f t="shared" si="15"/>
        <v>12762.972400000002</v>
      </c>
      <c r="AL11" s="16">
        <f t="shared" si="15"/>
        <v>13528.750744000003</v>
      </c>
      <c r="AM11" s="16">
        <f t="shared" si="15"/>
        <v>14340.475788640004</v>
      </c>
      <c r="AN11" s="16">
        <f t="shared" si="15"/>
        <v>15200.904335958405</v>
      </c>
      <c r="AO11" s="16">
        <f t="shared" si="15"/>
        <v>16112.95859611591</v>
      </c>
      <c r="AP11" s="16">
        <f t="shared" si="15"/>
        <v>17079.736111882867</v>
      </c>
      <c r="AQ11" s="16">
        <f t="shared" si="15"/>
        <v>18104.520278595839</v>
      </c>
      <c r="AR11" s="16">
        <f t="shared" si="15"/>
        <v>19190.791495311591</v>
      </c>
      <c r="AS11" s="16">
        <f t="shared" si="15"/>
        <v>20342.238985030286</v>
      </c>
    </row>
    <row r="12" spans="1:45" x14ac:dyDescent="0.2">
      <c r="A12" s="2" t="s">
        <v>3</v>
      </c>
      <c r="B12" s="2">
        <f t="shared" ref="B12:Q12" si="16">+SUM(B8:B11)</f>
        <v>41191</v>
      </c>
      <c r="C12" s="2">
        <f t="shared" si="16"/>
        <v>41191</v>
      </c>
      <c r="D12" s="2">
        <f t="shared" si="16"/>
        <v>43041</v>
      </c>
      <c r="E12" s="2">
        <f t="shared" si="16"/>
        <v>47114</v>
      </c>
      <c r="F12" s="2">
        <f t="shared" si="16"/>
        <v>46027</v>
      </c>
      <c r="G12" s="2">
        <f t="shared" si="16"/>
        <v>51403</v>
      </c>
      <c r="H12" s="2">
        <f t="shared" si="16"/>
        <v>54143</v>
      </c>
      <c r="I12" s="2">
        <f t="shared" si="16"/>
        <v>60068</v>
      </c>
      <c r="J12" s="2">
        <f t="shared" si="16"/>
        <v>54570</v>
      </c>
      <c r="K12" s="2">
        <f t="shared" si="16"/>
        <v>57183</v>
      </c>
      <c r="L12" s="2">
        <f t="shared" si="16"/>
        <v>56629</v>
      </c>
      <c r="M12" s="2">
        <f t="shared" si="16"/>
        <v>64045</v>
      </c>
      <c r="N12" s="2">
        <f t="shared" si="16"/>
        <v>55142</v>
      </c>
      <c r="O12" s="2">
        <f t="shared" si="16"/>
        <v>59423</v>
      </c>
      <c r="P12" s="2">
        <f t="shared" si="16"/>
        <v>60227</v>
      </c>
      <c r="Q12" s="2">
        <f t="shared" si="16"/>
        <v>67520</v>
      </c>
      <c r="R12" s="2">
        <f t="shared" ref="R12" si="17">+SUM(R8:R11)</f>
        <v>59978</v>
      </c>
      <c r="W12" s="6">
        <f>+(AH12/Y12)^(0.1)-1</f>
        <v>0.24525066165169318</v>
      </c>
      <c r="Y12" s="2">
        <f t="shared" ref="Y12:AH12" si="18">+SUM(Y8:Y11)</f>
        <v>25925</v>
      </c>
      <c r="Z12" s="2">
        <f t="shared" si="18"/>
        <v>32951</v>
      </c>
      <c r="AA12" s="2">
        <f t="shared" si="18"/>
        <v>43369</v>
      </c>
      <c r="AB12" s="2">
        <f t="shared" si="18"/>
        <v>61612</v>
      </c>
      <c r="AC12" s="2">
        <f t="shared" si="18"/>
        <v>81014</v>
      </c>
      <c r="AD12" s="2">
        <f t="shared" si="18"/>
        <v>100244</v>
      </c>
      <c r="AE12" s="2">
        <f t="shared" si="18"/>
        <v>129933</v>
      </c>
      <c r="AF12" s="2">
        <f t="shared" si="18"/>
        <v>172537</v>
      </c>
      <c r="AG12" s="2">
        <f t="shared" si="18"/>
        <v>211641</v>
      </c>
      <c r="AH12" s="2">
        <f t="shared" si="18"/>
        <v>232427</v>
      </c>
      <c r="AI12" s="2">
        <f>+SUM(AI8:AI11)</f>
        <v>242312</v>
      </c>
      <c r="AJ12" s="2">
        <f>+SUM(AJ8:AJ11)</f>
        <v>264572.34999999998</v>
      </c>
      <c r="AK12" s="2">
        <f t="shared" ref="AK12:AS12" si="19">+SUM(AK8:AK11)</f>
        <v>288994.15910000011</v>
      </c>
      <c r="AL12" s="2">
        <f t="shared" si="19"/>
        <v>315798.37435300008</v>
      </c>
      <c r="AM12" s="2">
        <f t="shared" si="19"/>
        <v>345229.53885827016</v>
      </c>
      <c r="AN12" s="2">
        <f t="shared" si="19"/>
        <v>377558.40035319864</v>
      </c>
      <c r="AO12" s="2">
        <f t="shared" si="19"/>
        <v>413084.81570522545</v>
      </c>
      <c r="AP12" s="2">
        <f t="shared" si="19"/>
        <v>452140.98548888991</v>
      </c>
      <c r="AQ12" s="2">
        <f t="shared" si="19"/>
        <v>495095.05683261179</v>
      </c>
      <c r="AR12" s="2">
        <f t="shared" si="19"/>
        <v>542355.13719136268</v>
      </c>
      <c r="AS12" s="2">
        <f t="shared" si="19"/>
        <v>594373.76670090423</v>
      </c>
    </row>
    <row r="13" spans="1:45" x14ac:dyDescent="0.2">
      <c r="A13" s="2" t="s">
        <v>4</v>
      </c>
      <c r="B13" s="2">
        <f t="shared" ref="B13:P13" si="20">+B7-B12</f>
        <v>7713</v>
      </c>
      <c r="C13" s="2">
        <f t="shared" si="20"/>
        <v>7713</v>
      </c>
      <c r="D13" s="2">
        <f t="shared" si="20"/>
        <v>4841</v>
      </c>
      <c r="E13" s="2">
        <f t="shared" si="20"/>
        <v>4644</v>
      </c>
      <c r="F13" s="2">
        <f t="shared" si="20"/>
        <v>3918</v>
      </c>
      <c r="G13" s="2">
        <f t="shared" si="20"/>
        <v>3407</v>
      </c>
      <c r="H13" s="2">
        <f t="shared" si="20"/>
        <v>2690</v>
      </c>
      <c r="I13" s="2">
        <f t="shared" si="20"/>
        <v>3496</v>
      </c>
      <c r="J13" s="2">
        <f t="shared" si="20"/>
        <v>4997</v>
      </c>
      <c r="K13" s="2">
        <f t="shared" si="20"/>
        <v>7827</v>
      </c>
      <c r="L13" s="2">
        <f t="shared" si="20"/>
        <v>11432</v>
      </c>
      <c r="M13" s="2">
        <f t="shared" si="20"/>
        <v>13363</v>
      </c>
      <c r="N13" s="2">
        <f t="shared" si="20"/>
        <v>15538</v>
      </c>
      <c r="O13" s="2">
        <f t="shared" si="20"/>
        <v>14769</v>
      </c>
      <c r="P13" s="2">
        <f t="shared" si="20"/>
        <v>17673</v>
      </c>
      <c r="Q13" s="2">
        <f>+Q7-Q12</f>
        <v>21379</v>
      </c>
      <c r="R13" s="2">
        <f>+R7-R12</f>
        <v>18713</v>
      </c>
      <c r="S13" s="2">
        <v>17500</v>
      </c>
      <c r="Y13" s="2">
        <f t="shared" ref="Y13:AI13" si="21">+Y7-Y12</f>
        <v>311</v>
      </c>
      <c r="Z13" s="2">
        <f t="shared" si="21"/>
        <v>2404</v>
      </c>
      <c r="AA13" s="2">
        <f t="shared" si="21"/>
        <v>4253</v>
      </c>
      <c r="AB13" s="2">
        <f t="shared" si="21"/>
        <v>4320</v>
      </c>
      <c r="AC13" s="2">
        <f t="shared" si="21"/>
        <v>12717</v>
      </c>
      <c r="AD13" s="2">
        <f t="shared" si="21"/>
        <v>14742</v>
      </c>
      <c r="AE13" s="2">
        <f t="shared" si="21"/>
        <v>22824</v>
      </c>
      <c r="AF13" s="2">
        <f t="shared" si="21"/>
        <v>24911</v>
      </c>
      <c r="AG13" s="2">
        <f t="shared" si="21"/>
        <v>13511</v>
      </c>
      <c r="AH13" s="2">
        <f t="shared" si="21"/>
        <v>37619</v>
      </c>
      <c r="AI13" s="2">
        <f t="shared" si="21"/>
        <v>69359</v>
      </c>
      <c r="AJ13" s="2">
        <f t="shared" ref="AJ13:AS13" si="22">+AJ7-AJ12</f>
        <v>81528.63</v>
      </c>
      <c r="AK13" s="2">
        <f t="shared" si="22"/>
        <v>95273.458099999931</v>
      </c>
      <c r="AL13" s="2">
        <f t="shared" si="22"/>
        <v>110772.63229500002</v>
      </c>
      <c r="AM13" s="2">
        <f t="shared" si="22"/>
        <v>128224.09267804993</v>
      </c>
      <c r="AN13" s="2">
        <f t="shared" si="22"/>
        <v>147846.41574039031</v>
      </c>
      <c r="AO13" s="2">
        <f t="shared" si="22"/>
        <v>169880.82732768648</v>
      </c>
      <c r="AP13" s="2">
        <f t="shared" si="22"/>
        <v>194593.39825697412</v>
      </c>
      <c r="AQ13" s="2">
        <f t="shared" si="22"/>
        <v>222277.43757436902</v>
      </c>
      <c r="AR13" s="2">
        <f t="shared" si="22"/>
        <v>253256.09944863443</v>
      </c>
      <c r="AS13" s="2">
        <f t="shared" si="22"/>
        <v>287885.22074671939</v>
      </c>
    </row>
    <row r="14" spans="1:45" x14ac:dyDescent="0.2">
      <c r="A14" s="2" t="s">
        <v>5</v>
      </c>
      <c r="B14" s="2">
        <v>106</v>
      </c>
      <c r="C14" s="2">
        <v>106</v>
      </c>
      <c r="D14" s="2">
        <v>119</v>
      </c>
      <c r="E14" s="2">
        <f>+AF14-SUM(B14:D14)</f>
        <v>117</v>
      </c>
      <c r="F14" s="2">
        <v>108</v>
      </c>
      <c r="G14" s="2">
        <v>159</v>
      </c>
      <c r="H14" s="2">
        <v>277</v>
      </c>
      <c r="I14" s="2">
        <v>445</v>
      </c>
      <c r="J14" s="2">
        <v>611</v>
      </c>
      <c r="K14" s="2">
        <v>661</v>
      </c>
      <c r="L14" s="2">
        <v>776</v>
      </c>
      <c r="M14" s="2">
        <v>901</v>
      </c>
      <c r="N14" s="2">
        <v>993</v>
      </c>
      <c r="O14" s="2">
        <v>1180</v>
      </c>
      <c r="P14" s="2">
        <v>1256</v>
      </c>
      <c r="Q14" s="2">
        <v>1248</v>
      </c>
      <c r="R14" s="2">
        <v>1066</v>
      </c>
      <c r="Y14" s="2">
        <v>39</v>
      </c>
      <c r="Z14" s="2">
        <v>50</v>
      </c>
      <c r="AA14" s="2">
        <v>100</v>
      </c>
      <c r="AB14" s="2">
        <v>202</v>
      </c>
      <c r="AC14" s="2">
        <v>440</v>
      </c>
      <c r="AD14" s="2">
        <v>832</v>
      </c>
      <c r="AE14" s="2">
        <v>555</v>
      </c>
      <c r="AF14" s="2">
        <v>448</v>
      </c>
      <c r="AG14" s="2">
        <v>989</v>
      </c>
      <c r="AH14" s="2">
        <v>2949</v>
      </c>
      <c r="AI14" s="2">
        <f t="shared" ref="AI14:AI17" si="23">+SUM(N14:Q14)</f>
        <v>4677</v>
      </c>
      <c r="AJ14" s="2">
        <f t="shared" ref="AJ14:AS14" si="24">+AI30*0.05</f>
        <v>2428.9500000000003</v>
      </c>
      <c r="AK14" s="2">
        <f t="shared" si="24"/>
        <v>5686.2012000000004</v>
      </c>
      <c r="AL14" s="2">
        <f t="shared" si="24"/>
        <v>9618.482971999998</v>
      </c>
      <c r="AM14" s="2">
        <f t="shared" si="24"/>
        <v>14322.717752680001</v>
      </c>
      <c r="AN14" s="2">
        <f t="shared" si="24"/>
        <v>19907.6098484092</v>
      </c>
      <c r="AO14" s="2">
        <f t="shared" si="24"/>
        <v>26494.94153438618</v>
      </c>
      <c r="AP14" s="2">
        <f t="shared" si="24"/>
        <v>34221.001484415341</v>
      </c>
      <c r="AQ14" s="2">
        <f t="shared" si="24"/>
        <v>43238.158129394484</v>
      </c>
      <c r="AR14" s="2">
        <f t="shared" si="24"/>
        <v>53716.591645634762</v>
      </c>
      <c r="AS14" s="2">
        <f t="shared" si="24"/>
        <v>65846.199461899756</v>
      </c>
    </row>
    <row r="15" spans="1:45" x14ac:dyDescent="0.2">
      <c r="A15" s="2" t="s">
        <v>43</v>
      </c>
      <c r="B15" s="2">
        <v>-435</v>
      </c>
      <c r="C15" s="2">
        <v>-435</v>
      </c>
      <c r="D15" s="2">
        <v>-493</v>
      </c>
      <c r="E15" s="2">
        <f>+AF15-SUM(B15:D15)</f>
        <v>-446</v>
      </c>
      <c r="F15" s="2">
        <v>-472</v>
      </c>
      <c r="G15" s="2">
        <v>-584</v>
      </c>
      <c r="H15" s="2">
        <v>-617</v>
      </c>
      <c r="I15" s="2">
        <v>-694</v>
      </c>
      <c r="J15" s="2">
        <v>-823</v>
      </c>
      <c r="K15" s="2">
        <v>-840</v>
      </c>
      <c r="L15" s="2">
        <v>-806</v>
      </c>
      <c r="M15" s="2">
        <v>-713</v>
      </c>
      <c r="N15" s="2">
        <v>-644</v>
      </c>
      <c r="O15" s="2">
        <v>-589</v>
      </c>
      <c r="P15" s="2">
        <v>-603</v>
      </c>
      <c r="Q15" s="2">
        <v>-570</v>
      </c>
      <c r="R15" s="2">
        <v>-541</v>
      </c>
      <c r="Y15" s="2">
        <v>-210</v>
      </c>
      <c r="Z15" s="2">
        <v>-459</v>
      </c>
      <c r="AA15" s="2">
        <v>-484</v>
      </c>
      <c r="AB15" s="2">
        <v>-848</v>
      </c>
      <c r="AC15" s="2">
        <v>-1417</v>
      </c>
      <c r="AD15" s="2">
        <v>-1600</v>
      </c>
      <c r="AE15" s="2">
        <v>-1647</v>
      </c>
      <c r="AF15" s="2">
        <v>-1809</v>
      </c>
      <c r="AG15" s="2">
        <v>-2367</v>
      </c>
      <c r="AH15" s="2">
        <v>-3182</v>
      </c>
      <c r="AI15" s="2">
        <f t="shared" si="23"/>
        <v>-2406</v>
      </c>
      <c r="AJ15" s="2">
        <f t="shared" ref="AJ15:AS15" si="25">+AI15*1.05</f>
        <v>-2526.3000000000002</v>
      </c>
      <c r="AK15" s="2">
        <f t="shared" si="25"/>
        <v>-2652.6150000000002</v>
      </c>
      <c r="AL15" s="2">
        <f t="shared" si="25"/>
        <v>-2785.2457500000005</v>
      </c>
      <c r="AM15" s="2">
        <f t="shared" si="25"/>
        <v>-2924.5080375000007</v>
      </c>
      <c r="AN15" s="2">
        <f t="shared" si="25"/>
        <v>-3070.7334393750007</v>
      </c>
      <c r="AO15" s="2">
        <f t="shared" si="25"/>
        <v>-3224.2701113437506</v>
      </c>
      <c r="AP15" s="2">
        <f t="shared" si="25"/>
        <v>-3385.4836169109385</v>
      </c>
      <c r="AQ15" s="2">
        <f t="shared" si="25"/>
        <v>-3554.7577977564856</v>
      </c>
      <c r="AR15" s="2">
        <f t="shared" si="25"/>
        <v>-3732.4956876443102</v>
      </c>
      <c r="AS15" s="2">
        <f t="shared" si="25"/>
        <v>-3919.1204720265259</v>
      </c>
    </row>
    <row r="16" spans="1:45" x14ac:dyDescent="0.2">
      <c r="A16" s="2" t="s">
        <v>6</v>
      </c>
      <c r="B16" s="2">
        <f t="shared" ref="B16:Q16" si="26">+B13+B14+B15</f>
        <v>7384</v>
      </c>
      <c r="C16" s="2">
        <f t="shared" si="26"/>
        <v>7384</v>
      </c>
      <c r="D16" s="2">
        <f t="shared" si="26"/>
        <v>4467</v>
      </c>
      <c r="E16" s="2">
        <f t="shared" si="26"/>
        <v>4315</v>
      </c>
      <c r="F16" s="2">
        <f t="shared" si="26"/>
        <v>3554</v>
      </c>
      <c r="G16" s="2">
        <f t="shared" si="26"/>
        <v>2982</v>
      </c>
      <c r="H16" s="2">
        <f t="shared" si="26"/>
        <v>2350</v>
      </c>
      <c r="I16" s="2">
        <f t="shared" si="26"/>
        <v>3247</v>
      </c>
      <c r="J16" s="2">
        <f t="shared" si="26"/>
        <v>4785</v>
      </c>
      <c r="K16" s="2">
        <f t="shared" si="26"/>
        <v>7648</v>
      </c>
      <c r="L16" s="2">
        <f t="shared" si="26"/>
        <v>11402</v>
      </c>
      <c r="M16" s="2">
        <f t="shared" si="26"/>
        <v>13551</v>
      </c>
      <c r="N16" s="2">
        <f t="shared" si="26"/>
        <v>15887</v>
      </c>
      <c r="O16" s="2">
        <f t="shared" si="26"/>
        <v>15360</v>
      </c>
      <c r="P16" s="2">
        <f t="shared" si="26"/>
        <v>18326</v>
      </c>
      <c r="Q16" s="2">
        <f t="shared" si="26"/>
        <v>22057</v>
      </c>
      <c r="R16" s="2">
        <f t="shared" ref="R16" si="27">+R13+R14+R15</f>
        <v>19238</v>
      </c>
      <c r="Y16" s="2">
        <f t="shared" ref="Y16:AS16" si="28">+Y13+Y14+Y15</f>
        <v>140</v>
      </c>
      <c r="Z16" s="2">
        <f t="shared" si="28"/>
        <v>1995</v>
      </c>
      <c r="AA16" s="2">
        <f t="shared" si="28"/>
        <v>3869</v>
      </c>
      <c r="AB16" s="2">
        <f t="shared" si="28"/>
        <v>3674</v>
      </c>
      <c r="AC16" s="2">
        <f t="shared" si="28"/>
        <v>11740</v>
      </c>
      <c r="AD16" s="2">
        <f t="shared" si="28"/>
        <v>13974</v>
      </c>
      <c r="AE16" s="2">
        <f t="shared" si="28"/>
        <v>21732</v>
      </c>
      <c r="AF16" s="2">
        <f t="shared" si="28"/>
        <v>23550</v>
      </c>
      <c r="AG16" s="2">
        <f t="shared" si="28"/>
        <v>12133</v>
      </c>
      <c r="AH16" s="2">
        <f t="shared" si="28"/>
        <v>37386</v>
      </c>
      <c r="AI16" s="2">
        <f t="shared" si="28"/>
        <v>71630</v>
      </c>
      <c r="AJ16" s="2">
        <f t="shared" si="28"/>
        <v>81431.28</v>
      </c>
      <c r="AK16" s="2">
        <f t="shared" si="28"/>
        <v>98307.044299999921</v>
      </c>
      <c r="AL16" s="2">
        <f t="shared" si="28"/>
        <v>117605.86951700001</v>
      </c>
      <c r="AM16" s="2">
        <f t="shared" si="28"/>
        <v>139622.30239322994</v>
      </c>
      <c r="AN16" s="2">
        <f t="shared" si="28"/>
        <v>164683.29214942449</v>
      </c>
      <c r="AO16" s="2">
        <f t="shared" si="28"/>
        <v>193151.4987507289</v>
      </c>
      <c r="AP16" s="2">
        <f t="shared" si="28"/>
        <v>225428.91612447854</v>
      </c>
      <c r="AQ16" s="2">
        <f t="shared" si="28"/>
        <v>261960.83790600699</v>
      </c>
      <c r="AR16" s="2">
        <f t="shared" si="28"/>
        <v>303240.19540662487</v>
      </c>
      <c r="AS16" s="2">
        <f t="shared" si="28"/>
        <v>349812.29973659263</v>
      </c>
    </row>
    <row r="17" spans="1:146" x14ac:dyDescent="0.2">
      <c r="A17" s="2" t="s">
        <v>7</v>
      </c>
      <c r="B17" s="2">
        <v>868</v>
      </c>
      <c r="C17" s="2">
        <v>868</v>
      </c>
      <c r="D17" s="2">
        <v>1155</v>
      </c>
      <c r="E17" s="2">
        <f>+AF17-SUM(B17:D17)</f>
        <v>1900</v>
      </c>
      <c r="F17" s="2">
        <v>-1422</v>
      </c>
      <c r="G17" s="2">
        <v>-637</v>
      </c>
      <c r="H17" s="2">
        <v>69</v>
      </c>
      <c r="I17" s="2">
        <v>-1227</v>
      </c>
      <c r="J17" s="2">
        <v>948</v>
      </c>
      <c r="K17" s="2">
        <v>-804</v>
      </c>
      <c r="L17" s="2">
        <v>2306</v>
      </c>
      <c r="M17" s="2">
        <v>3062</v>
      </c>
      <c r="N17" s="2">
        <v>2467</v>
      </c>
      <c r="O17" s="2">
        <v>1767</v>
      </c>
      <c r="P17" s="2">
        <v>2706</v>
      </c>
      <c r="Q17" s="2">
        <v>2325</v>
      </c>
      <c r="R17" s="2">
        <v>4553</v>
      </c>
      <c r="Y17" s="2">
        <v>167</v>
      </c>
      <c r="Z17" s="2">
        <v>950</v>
      </c>
      <c r="AA17" s="2">
        <v>1425</v>
      </c>
      <c r="AB17" s="2">
        <v>769</v>
      </c>
      <c r="AC17" s="2">
        <v>1197</v>
      </c>
      <c r="AD17" s="2">
        <v>2374</v>
      </c>
      <c r="AE17" s="2">
        <v>2863</v>
      </c>
      <c r="AF17" s="2">
        <v>4791</v>
      </c>
      <c r="AG17" s="2">
        <v>-3217</v>
      </c>
      <c r="AH17" s="2">
        <v>7120</v>
      </c>
      <c r="AI17" s="2">
        <f t="shared" si="23"/>
        <v>9265</v>
      </c>
      <c r="AJ17" s="2">
        <f t="shared" ref="AJ17:AS17" si="29">+AJ16*0.2</f>
        <v>16286.256000000001</v>
      </c>
      <c r="AK17" s="2">
        <f t="shared" si="29"/>
        <v>19661.408859999985</v>
      </c>
      <c r="AL17" s="2">
        <f t="shared" si="29"/>
        <v>23521.173903400006</v>
      </c>
      <c r="AM17" s="2">
        <f t="shared" si="29"/>
        <v>27924.460478645989</v>
      </c>
      <c r="AN17" s="2">
        <f t="shared" si="29"/>
        <v>32936.658429884897</v>
      </c>
      <c r="AO17" s="2">
        <f t="shared" si="29"/>
        <v>38630.299750145779</v>
      </c>
      <c r="AP17" s="2">
        <f t="shared" si="29"/>
        <v>45085.783224895713</v>
      </c>
      <c r="AQ17" s="2">
        <f t="shared" si="29"/>
        <v>52392.1675812014</v>
      </c>
      <c r="AR17" s="2">
        <f t="shared" si="29"/>
        <v>60648.039081324976</v>
      </c>
      <c r="AS17" s="2">
        <f t="shared" si="29"/>
        <v>69962.459947318523</v>
      </c>
    </row>
    <row r="18" spans="1:146" x14ac:dyDescent="0.2">
      <c r="A18" s="2" t="s">
        <v>8</v>
      </c>
      <c r="B18" s="2">
        <f t="shared" ref="B18:H18" si="30">+B16-B17</f>
        <v>6516</v>
      </c>
      <c r="C18" s="2">
        <f t="shared" si="30"/>
        <v>6516</v>
      </c>
      <c r="D18" s="2">
        <f t="shared" si="30"/>
        <v>3312</v>
      </c>
      <c r="E18" s="2">
        <f t="shared" si="30"/>
        <v>2415</v>
      </c>
      <c r="F18" s="2">
        <f t="shared" si="30"/>
        <v>4976</v>
      </c>
      <c r="G18" s="2">
        <f t="shared" si="30"/>
        <v>3619</v>
      </c>
      <c r="H18" s="2">
        <f t="shared" si="30"/>
        <v>2281</v>
      </c>
      <c r="I18" s="2">
        <f t="shared" ref="I18:Q18" si="31">+I16-I17</f>
        <v>4474</v>
      </c>
      <c r="J18" s="2">
        <f t="shared" si="31"/>
        <v>3837</v>
      </c>
      <c r="K18" s="2">
        <f t="shared" si="31"/>
        <v>8452</v>
      </c>
      <c r="L18" s="2">
        <f t="shared" si="31"/>
        <v>9096</v>
      </c>
      <c r="M18" s="2">
        <f t="shared" si="31"/>
        <v>10489</v>
      </c>
      <c r="N18" s="2">
        <f t="shared" si="31"/>
        <v>13420</v>
      </c>
      <c r="O18" s="2">
        <f t="shared" si="31"/>
        <v>13593</v>
      </c>
      <c r="P18" s="2">
        <f t="shared" si="31"/>
        <v>15620</v>
      </c>
      <c r="Q18" s="2">
        <f t="shared" si="31"/>
        <v>19732</v>
      </c>
      <c r="R18" s="2">
        <f t="shared" ref="R18" si="32">+R16-R17</f>
        <v>14685</v>
      </c>
      <c r="Y18" s="2">
        <f t="shared" ref="Y18:AH18" si="33">+Y16-Y17</f>
        <v>-27</v>
      </c>
      <c r="Z18" s="2">
        <f t="shared" si="33"/>
        <v>1045</v>
      </c>
      <c r="AA18" s="2">
        <f t="shared" si="33"/>
        <v>2444</v>
      </c>
      <c r="AB18" s="2">
        <f t="shared" si="33"/>
        <v>2905</v>
      </c>
      <c r="AC18" s="2">
        <f t="shared" si="33"/>
        <v>10543</v>
      </c>
      <c r="AD18" s="2">
        <f t="shared" si="33"/>
        <v>11600</v>
      </c>
      <c r="AE18" s="2">
        <f t="shared" si="33"/>
        <v>18869</v>
      </c>
      <c r="AF18" s="2">
        <f t="shared" si="33"/>
        <v>18759</v>
      </c>
      <c r="AG18" s="2">
        <f t="shared" si="33"/>
        <v>15350</v>
      </c>
      <c r="AH18" s="2">
        <f t="shared" si="33"/>
        <v>30266</v>
      </c>
      <c r="AI18" s="2">
        <f t="shared" ref="AI18:AS18" si="34">+AI16-AI17</f>
        <v>62365</v>
      </c>
      <c r="AJ18" s="2">
        <f t="shared" si="34"/>
        <v>65145.023999999998</v>
      </c>
      <c r="AK18" s="2">
        <f t="shared" si="34"/>
        <v>78645.63543999994</v>
      </c>
      <c r="AL18" s="2">
        <f t="shared" si="34"/>
        <v>94084.695613600008</v>
      </c>
      <c r="AM18" s="2">
        <f t="shared" si="34"/>
        <v>111697.84191458396</v>
      </c>
      <c r="AN18" s="2">
        <f t="shared" si="34"/>
        <v>131746.63371953959</v>
      </c>
      <c r="AO18" s="2">
        <f t="shared" si="34"/>
        <v>154521.19900058312</v>
      </c>
      <c r="AP18" s="2">
        <f t="shared" si="34"/>
        <v>180343.13289958282</v>
      </c>
      <c r="AQ18" s="2">
        <f t="shared" si="34"/>
        <v>209568.6703248056</v>
      </c>
      <c r="AR18" s="2">
        <f t="shared" si="34"/>
        <v>242592.1563252999</v>
      </c>
      <c r="AS18" s="2">
        <f t="shared" si="34"/>
        <v>279849.83978927409</v>
      </c>
      <c r="AT18" s="2">
        <f t="shared" ref="AT18:BY18" si="35">+AS18*(1+$AV$23)</f>
        <v>282648.33818716684</v>
      </c>
      <c r="AU18" s="2">
        <f t="shared" si="35"/>
        <v>285474.8215690385</v>
      </c>
      <c r="AV18" s="2">
        <f t="shared" si="35"/>
        <v>288329.56978472887</v>
      </c>
      <c r="AW18" s="2">
        <f t="shared" si="35"/>
        <v>291212.86548257613</v>
      </c>
      <c r="AX18" s="2">
        <f t="shared" si="35"/>
        <v>294124.99413740193</v>
      </c>
      <c r="AY18" s="2">
        <f t="shared" si="35"/>
        <v>297066.24407877593</v>
      </c>
      <c r="AZ18" s="2">
        <f t="shared" si="35"/>
        <v>300036.90651956369</v>
      </c>
      <c r="BA18" s="2">
        <f t="shared" si="35"/>
        <v>303037.27558475931</v>
      </c>
      <c r="BB18" s="2">
        <f t="shared" si="35"/>
        <v>306067.64834060689</v>
      </c>
      <c r="BC18" s="2">
        <f t="shared" si="35"/>
        <v>309128.32482401293</v>
      </c>
      <c r="BD18" s="2">
        <f t="shared" si="35"/>
        <v>312219.60807225306</v>
      </c>
      <c r="BE18" s="2">
        <f t="shared" si="35"/>
        <v>315341.80415297562</v>
      </c>
      <c r="BF18" s="2">
        <f t="shared" si="35"/>
        <v>318495.22219450539</v>
      </c>
      <c r="BG18" s="2">
        <f t="shared" si="35"/>
        <v>321680.17441645043</v>
      </c>
      <c r="BH18" s="2">
        <f t="shared" si="35"/>
        <v>324896.97616061493</v>
      </c>
      <c r="BI18" s="2">
        <f t="shared" si="35"/>
        <v>328145.94592222106</v>
      </c>
      <c r="BJ18" s="2">
        <f t="shared" si="35"/>
        <v>331427.40538144327</v>
      </c>
      <c r="BK18" s="2">
        <f t="shared" si="35"/>
        <v>334741.67943525768</v>
      </c>
      <c r="BL18" s="2">
        <f t="shared" si="35"/>
        <v>338089.09622961027</v>
      </c>
      <c r="BM18" s="2">
        <f t="shared" si="35"/>
        <v>341469.98719190637</v>
      </c>
      <c r="BN18" s="2">
        <f t="shared" si="35"/>
        <v>344884.68706382543</v>
      </c>
      <c r="BO18" s="2">
        <f t="shared" si="35"/>
        <v>348333.53393446369</v>
      </c>
      <c r="BP18" s="2">
        <f t="shared" si="35"/>
        <v>351816.86927380832</v>
      </c>
      <c r="BQ18" s="2">
        <f t="shared" si="35"/>
        <v>355335.03796654643</v>
      </c>
      <c r="BR18" s="2">
        <f t="shared" si="35"/>
        <v>358888.38834621187</v>
      </c>
      <c r="BS18" s="2">
        <f t="shared" si="35"/>
        <v>362477.27222967398</v>
      </c>
      <c r="BT18" s="2">
        <f t="shared" si="35"/>
        <v>366102.04495197075</v>
      </c>
      <c r="BU18" s="2">
        <f t="shared" si="35"/>
        <v>369763.06540149049</v>
      </c>
      <c r="BV18" s="2">
        <f t="shared" si="35"/>
        <v>373460.69605550537</v>
      </c>
      <c r="BW18" s="2">
        <f t="shared" si="35"/>
        <v>377195.30301606044</v>
      </c>
      <c r="BX18" s="2">
        <f t="shared" si="35"/>
        <v>380967.25604622107</v>
      </c>
      <c r="BY18" s="2">
        <f t="shared" si="35"/>
        <v>384776.92860668327</v>
      </c>
      <c r="BZ18" s="2">
        <f t="shared" ref="BZ18:DE18" si="36">+BY18*(1+$AV$23)</f>
        <v>388624.69789275009</v>
      </c>
      <c r="CA18" s="2">
        <f t="shared" si="36"/>
        <v>392510.94487167761</v>
      </c>
      <c r="CB18" s="2">
        <f t="shared" si="36"/>
        <v>396436.05432039441</v>
      </c>
      <c r="CC18" s="2">
        <f t="shared" si="36"/>
        <v>400400.41486359836</v>
      </c>
      <c r="CD18" s="2">
        <f t="shared" si="36"/>
        <v>404404.41901223437</v>
      </c>
      <c r="CE18" s="2">
        <f t="shared" si="36"/>
        <v>408448.46320235671</v>
      </c>
      <c r="CF18" s="2">
        <f t="shared" si="36"/>
        <v>412532.94783438026</v>
      </c>
      <c r="CG18" s="2">
        <f t="shared" si="36"/>
        <v>416658.27731272409</v>
      </c>
      <c r="CH18" s="2">
        <f t="shared" si="36"/>
        <v>420824.86008585134</v>
      </c>
      <c r="CI18" s="2">
        <f t="shared" si="36"/>
        <v>425033.10868670983</v>
      </c>
      <c r="CJ18" s="2">
        <f t="shared" si="36"/>
        <v>429283.43977357692</v>
      </c>
      <c r="CK18" s="2">
        <f t="shared" si="36"/>
        <v>433576.27417131269</v>
      </c>
      <c r="CL18" s="2">
        <f t="shared" si="36"/>
        <v>437912.03691302583</v>
      </c>
      <c r="CM18" s="2">
        <f t="shared" si="36"/>
        <v>442291.15728215611</v>
      </c>
      <c r="CN18" s="2">
        <f t="shared" si="36"/>
        <v>446714.06885497767</v>
      </c>
      <c r="CO18" s="2">
        <f t="shared" si="36"/>
        <v>451181.20954352745</v>
      </c>
      <c r="CP18" s="2">
        <f t="shared" si="36"/>
        <v>455693.02163896273</v>
      </c>
      <c r="CQ18" s="2">
        <f t="shared" si="36"/>
        <v>460249.95185535238</v>
      </c>
      <c r="CR18" s="2">
        <f t="shared" si="36"/>
        <v>464852.45137390593</v>
      </c>
      <c r="CS18" s="2">
        <f t="shared" si="36"/>
        <v>469500.97588764498</v>
      </c>
      <c r="CT18" s="2">
        <f t="shared" si="36"/>
        <v>474195.98564652144</v>
      </c>
      <c r="CU18" s="2">
        <f t="shared" si="36"/>
        <v>478937.94550298667</v>
      </c>
      <c r="CV18" s="2">
        <f t="shared" si="36"/>
        <v>483727.32495801651</v>
      </c>
      <c r="CW18" s="2">
        <f t="shared" si="36"/>
        <v>488564.59820759669</v>
      </c>
      <c r="CX18" s="2">
        <f t="shared" si="36"/>
        <v>493450.24418967264</v>
      </c>
      <c r="CY18" s="2">
        <f t="shared" si="36"/>
        <v>498384.74663156935</v>
      </c>
      <c r="CZ18" s="2">
        <f t="shared" si="36"/>
        <v>503368.59409788507</v>
      </c>
      <c r="DA18" s="2">
        <f t="shared" si="36"/>
        <v>508402.28003886394</v>
      </c>
      <c r="DB18" s="2">
        <f t="shared" si="36"/>
        <v>513486.30283925257</v>
      </c>
      <c r="DC18" s="2">
        <f t="shared" si="36"/>
        <v>518621.16586764512</v>
      </c>
      <c r="DD18" s="2">
        <f t="shared" si="36"/>
        <v>523807.37752632156</v>
      </c>
      <c r="DE18" s="2">
        <f t="shared" si="36"/>
        <v>529045.45130158484</v>
      </c>
      <c r="DF18" s="2">
        <f t="shared" ref="DF18:EP18" si="37">+DE18*(1+$AV$23)</f>
        <v>534335.90581460064</v>
      </c>
      <c r="DG18" s="2">
        <f t="shared" si="37"/>
        <v>539679.26487274666</v>
      </c>
      <c r="DH18" s="2">
        <f t="shared" si="37"/>
        <v>545076.05752147408</v>
      </c>
      <c r="DI18" s="2">
        <f t="shared" si="37"/>
        <v>550526.81809668883</v>
      </c>
      <c r="DJ18" s="2">
        <f t="shared" si="37"/>
        <v>556032.08627765568</v>
      </c>
      <c r="DK18" s="2">
        <f t="shared" si="37"/>
        <v>561592.40714043227</v>
      </c>
      <c r="DL18" s="2">
        <f t="shared" si="37"/>
        <v>567208.33121183666</v>
      </c>
      <c r="DM18" s="2">
        <f t="shared" si="37"/>
        <v>572880.41452395509</v>
      </c>
      <c r="DN18" s="2">
        <f t="shared" si="37"/>
        <v>578609.21866919461</v>
      </c>
      <c r="DO18" s="2">
        <f t="shared" si="37"/>
        <v>584395.31085588655</v>
      </c>
      <c r="DP18" s="2">
        <f t="shared" si="37"/>
        <v>590239.26396444545</v>
      </c>
      <c r="DQ18" s="2">
        <f t="shared" si="37"/>
        <v>596141.65660408989</v>
      </c>
      <c r="DR18" s="2">
        <f t="shared" si="37"/>
        <v>602103.07317013084</v>
      </c>
      <c r="DS18" s="2">
        <f t="shared" si="37"/>
        <v>608124.10390183213</v>
      </c>
      <c r="DT18" s="2">
        <f t="shared" si="37"/>
        <v>614205.34494085051</v>
      </c>
      <c r="DU18" s="2">
        <f t="shared" si="37"/>
        <v>620347.39839025901</v>
      </c>
      <c r="DV18" s="2">
        <f t="shared" si="37"/>
        <v>626550.87237416161</v>
      </c>
      <c r="DW18" s="2">
        <f t="shared" si="37"/>
        <v>632816.38109790324</v>
      </c>
      <c r="DX18" s="2">
        <f t="shared" si="37"/>
        <v>639144.54490888224</v>
      </c>
      <c r="DY18" s="2">
        <f t="shared" si="37"/>
        <v>645535.99035797105</v>
      </c>
      <c r="DZ18" s="2">
        <f t="shared" si="37"/>
        <v>651991.35026155075</v>
      </c>
      <c r="EA18" s="2">
        <f t="shared" si="37"/>
        <v>658511.26376416627</v>
      </c>
      <c r="EB18" s="2">
        <f t="shared" si="37"/>
        <v>665096.376401808</v>
      </c>
      <c r="EC18" s="2">
        <f t="shared" si="37"/>
        <v>671747.34016582603</v>
      </c>
      <c r="ED18" s="2">
        <f t="shared" si="37"/>
        <v>678464.81356748426</v>
      </c>
      <c r="EE18" s="2">
        <f t="shared" si="37"/>
        <v>685249.46170315915</v>
      </c>
      <c r="EF18" s="2">
        <f t="shared" si="37"/>
        <v>692101.9563201908</v>
      </c>
      <c r="EG18" s="2">
        <f t="shared" si="37"/>
        <v>699022.97588339273</v>
      </c>
      <c r="EH18" s="2">
        <f t="shared" si="37"/>
        <v>706013.20564222662</v>
      </c>
      <c r="EI18" s="2">
        <f t="shared" si="37"/>
        <v>713073.33769864892</v>
      </c>
      <c r="EJ18" s="2">
        <f t="shared" si="37"/>
        <v>720204.07107563538</v>
      </c>
      <c r="EK18" s="2">
        <f t="shared" si="37"/>
        <v>727406.1117863917</v>
      </c>
      <c r="EL18" s="2">
        <f t="shared" si="37"/>
        <v>734680.17290425568</v>
      </c>
      <c r="EM18" s="2">
        <f t="shared" si="37"/>
        <v>742026.97463329823</v>
      </c>
      <c r="EN18" s="2">
        <f t="shared" si="37"/>
        <v>749447.24437963124</v>
      </c>
      <c r="EO18" s="2">
        <f t="shared" si="37"/>
        <v>756941.71682342759</v>
      </c>
      <c r="EP18" s="2">
        <f t="shared" si="37"/>
        <v>764511.13399166183</v>
      </c>
    </row>
    <row r="19" spans="1:146" s="7" customFormat="1" x14ac:dyDescent="0.2">
      <c r="A19" s="7" t="s">
        <v>9</v>
      </c>
      <c r="B19" s="7">
        <f t="shared" ref="B19:H19" si="38">+B18/B20</f>
        <v>0.6334824032665759</v>
      </c>
      <c r="C19" s="7">
        <f t="shared" si="38"/>
        <v>0.6334824032665759</v>
      </c>
      <c r="D19" s="7">
        <f t="shared" si="38"/>
        <v>0.3212726743622078</v>
      </c>
      <c r="E19" s="7">
        <f t="shared" si="38"/>
        <v>0.23461027816456723</v>
      </c>
      <c r="F19" s="7">
        <f t="shared" si="38"/>
        <v>0.48923409694228687</v>
      </c>
      <c r="G19" s="7">
        <f t="shared" si="38"/>
        <v>0.35567567567567565</v>
      </c>
      <c r="H19" s="7">
        <f t="shared" si="38"/>
        <v>0.22079179169489885</v>
      </c>
      <c r="I19" s="7">
        <f t="shared" ref="I19:Q19" si="39">+I18/I20</f>
        <v>0.43403181994567325</v>
      </c>
      <c r="J19" s="7">
        <f t="shared" si="39"/>
        <v>0.37083212525369674</v>
      </c>
      <c r="K19" s="7">
        <f t="shared" si="39"/>
        <v>0.80888123265384249</v>
      </c>
      <c r="L19" s="7">
        <f t="shared" si="39"/>
        <v>0.86152680431899986</v>
      </c>
      <c r="M19" s="7">
        <f t="shared" si="39"/>
        <v>0.98859566446748348</v>
      </c>
      <c r="N19" s="7">
        <f t="shared" si="39"/>
        <v>1.2577319587628866</v>
      </c>
      <c r="O19" s="7">
        <f t="shared" si="39"/>
        <v>1.2694247291744489</v>
      </c>
      <c r="P19" s="7">
        <f t="shared" si="39"/>
        <v>1.4550535631113182</v>
      </c>
      <c r="Q19" s="7">
        <f t="shared" si="39"/>
        <v>1.8319561786277969</v>
      </c>
      <c r="R19" s="7">
        <f t="shared" ref="R19" si="40">+R18/R20</f>
        <v>1.3606040952469194</v>
      </c>
      <c r="Y19" s="7">
        <f t="shared" ref="Y19:AI19" si="41">+Y18/Y20</f>
        <v>-5.844155844155844E-2</v>
      </c>
      <c r="Z19" s="7">
        <f t="shared" si="41"/>
        <v>2.190775681341719</v>
      </c>
      <c r="AA19" s="7">
        <f t="shared" si="41"/>
        <v>5.0495867768595044</v>
      </c>
      <c r="AB19" s="7">
        <f t="shared" si="41"/>
        <v>5.8924949290060855</v>
      </c>
      <c r="AC19" s="7">
        <f t="shared" si="41"/>
        <v>21.085999999999999</v>
      </c>
      <c r="AD19" s="7">
        <f t="shared" si="41"/>
        <v>23.015873015873016</v>
      </c>
      <c r="AE19" s="7">
        <f t="shared" si="41"/>
        <v>36.998039215686276</v>
      </c>
      <c r="AF19" s="7">
        <f t="shared" si="41"/>
        <v>1.821969696969697</v>
      </c>
      <c r="AG19" s="7">
        <f t="shared" si="41"/>
        <v>1.5065266463833547</v>
      </c>
      <c r="AH19" s="7">
        <f t="shared" si="41"/>
        <v>2.8846740373617994</v>
      </c>
      <c r="AI19" s="7">
        <f t="shared" si="41"/>
        <v>5.817087958212853</v>
      </c>
    </row>
    <row r="20" spans="1:146" x14ac:dyDescent="0.2">
      <c r="A20" s="2" t="s">
        <v>10</v>
      </c>
      <c r="B20" s="2">
        <v>10286</v>
      </c>
      <c r="C20" s="2">
        <v>10286</v>
      </c>
      <c r="D20" s="2">
        <v>10309</v>
      </c>
      <c r="E20" s="2">
        <f>+AVERAGE(B20:D20)</f>
        <v>10293.666666666666</v>
      </c>
      <c r="F20" s="2">
        <v>10171</v>
      </c>
      <c r="G20" s="2">
        <v>10175</v>
      </c>
      <c r="H20" s="2">
        <v>10331</v>
      </c>
      <c r="I20" s="2">
        <v>10308</v>
      </c>
      <c r="J20" s="2">
        <v>10347</v>
      </c>
      <c r="K20" s="2">
        <v>10449</v>
      </c>
      <c r="L20" s="2">
        <v>10558</v>
      </c>
      <c r="M20" s="2">
        <v>10610</v>
      </c>
      <c r="N20" s="2">
        <v>10670</v>
      </c>
      <c r="O20" s="2">
        <v>10708</v>
      </c>
      <c r="P20" s="2">
        <v>10735</v>
      </c>
      <c r="Q20" s="2">
        <v>10771</v>
      </c>
      <c r="R20" s="2">
        <v>10793</v>
      </c>
      <c r="W20" s="6"/>
      <c r="Y20" s="2">
        <v>462</v>
      </c>
      <c r="Z20" s="2">
        <v>477</v>
      </c>
      <c r="AA20" s="2">
        <v>484</v>
      </c>
      <c r="AB20" s="2">
        <v>493</v>
      </c>
      <c r="AC20" s="2">
        <v>500</v>
      </c>
      <c r="AD20" s="2">
        <v>504</v>
      </c>
      <c r="AE20" s="2">
        <v>510</v>
      </c>
      <c r="AF20" s="2">
        <v>10296</v>
      </c>
      <c r="AG20" s="2">
        <v>10189</v>
      </c>
      <c r="AH20" s="2">
        <v>10492</v>
      </c>
      <c r="AI20" s="2">
        <f>+AVERAGE(N20:Q20)</f>
        <v>10721</v>
      </c>
    </row>
    <row r="22" spans="1:146" s="8" customFormat="1" x14ac:dyDescent="0.2">
      <c r="A22" s="8" t="s">
        <v>11</v>
      </c>
      <c r="B22" s="8">
        <f t="shared" ref="B22:R22" si="42">+B7/B5</f>
        <v>0.43247258577997877</v>
      </c>
      <c r="C22" s="8">
        <f t="shared" si="42"/>
        <v>0.43247258577997877</v>
      </c>
      <c r="D22" s="8">
        <f t="shared" si="42"/>
        <v>0.43210121647475003</v>
      </c>
      <c r="E22" s="8">
        <f t="shared" si="42"/>
        <v>0.38968528836018673</v>
      </c>
      <c r="F22" s="8">
        <f t="shared" si="42"/>
        <v>0.42891862182680085</v>
      </c>
      <c r="G22" s="8">
        <f t="shared" si="42"/>
        <v>0.4521008957883102</v>
      </c>
      <c r="H22" s="8">
        <f t="shared" si="42"/>
        <v>0.44714833085498934</v>
      </c>
      <c r="I22" s="8">
        <f t="shared" si="42"/>
        <v>0.42602075011393797</v>
      </c>
      <c r="J22" s="8">
        <f t="shared" si="42"/>
        <v>0.46771306082067871</v>
      </c>
      <c r="K22" s="8">
        <f t="shared" si="42"/>
        <v>0.48376654785203488</v>
      </c>
      <c r="L22" s="8">
        <f t="shared" si="42"/>
        <v>0.47567495789157344</v>
      </c>
      <c r="M22" s="8">
        <f t="shared" si="42"/>
        <v>0.45544566106342044</v>
      </c>
      <c r="N22" s="8">
        <f t="shared" si="42"/>
        <v>0.49318624269954575</v>
      </c>
      <c r="O22" s="8">
        <f t="shared" si="42"/>
        <v>0.50137521371564497</v>
      </c>
      <c r="P22" s="8">
        <f t="shared" si="42"/>
        <v>0.49031640829069029</v>
      </c>
      <c r="Q22" s="8">
        <f t="shared" si="42"/>
        <v>0.47339077276987307</v>
      </c>
      <c r="R22" s="8">
        <f t="shared" si="42"/>
        <v>0.50550855351487467</v>
      </c>
      <c r="Y22" s="8">
        <f t="shared" ref="Y22:AS22" si="43">+Y7/Y5</f>
        <v>0.29482626871038792</v>
      </c>
      <c r="Z22" s="8">
        <f t="shared" si="43"/>
        <v>0.33040203353083003</v>
      </c>
      <c r="AA22" s="8">
        <f t="shared" si="43"/>
        <v>0.35019523925081075</v>
      </c>
      <c r="AB22" s="8">
        <f t="shared" si="43"/>
        <v>0.3706835482891615</v>
      </c>
      <c r="AC22" s="8">
        <f t="shared" si="43"/>
        <v>0.40247416128852193</v>
      </c>
      <c r="AD22" s="8">
        <f t="shared" si="43"/>
        <v>0.40990011478600608</v>
      </c>
      <c r="AE22" s="8">
        <f t="shared" si="43"/>
        <v>0.3956779186870571</v>
      </c>
      <c r="AF22" s="8">
        <f t="shared" si="43"/>
        <v>0.42028812751174988</v>
      </c>
      <c r="AG22" s="8">
        <f t="shared" si="43"/>
        <v>0.43805339865326287</v>
      </c>
      <c r="AH22" s="8">
        <f t="shared" si="43"/>
        <v>0.46982088955000567</v>
      </c>
      <c r="AI22" s="8">
        <f t="shared" si="43"/>
        <v>0.48854393464156787</v>
      </c>
      <c r="AJ22" s="8">
        <f t="shared" si="43"/>
        <v>0.49319353523573539</v>
      </c>
      <c r="AK22" s="8">
        <f t="shared" si="43"/>
        <v>0.49780086673359236</v>
      </c>
      <c r="AL22" s="8">
        <f t="shared" si="43"/>
        <v>0.50236631339965065</v>
      </c>
      <c r="AM22" s="8">
        <f t="shared" si="43"/>
        <v>0.50689025600510829</v>
      </c>
      <c r="AN22" s="8">
        <f t="shared" si="43"/>
        <v>0.51137307185960734</v>
      </c>
      <c r="AO22" s="8">
        <f t="shared" si="43"/>
        <v>0.51581513484270181</v>
      </c>
      <c r="AP22" s="8">
        <f t="shared" si="43"/>
        <v>0.52021681543504084</v>
      </c>
      <c r="AQ22" s="8">
        <f t="shared" si="43"/>
        <v>0.52457848074926772</v>
      </c>
      <c r="AR22" s="8">
        <f t="shared" si="43"/>
        <v>0.52890049456063803</v>
      </c>
      <c r="AS22" s="8">
        <f t="shared" si="43"/>
        <v>0.53318321733735952</v>
      </c>
      <c r="AU22" s="2" t="s">
        <v>72</v>
      </c>
      <c r="AV22" s="8">
        <v>0.05</v>
      </c>
    </row>
    <row r="23" spans="1:146" s="8" customFormat="1" x14ac:dyDescent="0.2">
      <c r="A23" s="8" t="s">
        <v>12</v>
      </c>
      <c r="B23" s="8">
        <f t="shared" ref="B23:Q23" si="44">+B13/B5</f>
        <v>6.8208348072161307E-2</v>
      </c>
      <c r="C23" s="8">
        <f t="shared" si="44"/>
        <v>6.8208348072161307E-2</v>
      </c>
      <c r="D23" s="8">
        <f t="shared" si="44"/>
        <v>4.3686604338880268E-2</v>
      </c>
      <c r="E23" s="8">
        <f t="shared" si="44"/>
        <v>3.4964613762987505E-2</v>
      </c>
      <c r="F23" s="8">
        <f t="shared" si="44"/>
        <v>3.3647074988835839E-2</v>
      </c>
      <c r="G23" s="8">
        <f t="shared" si="44"/>
        <v>2.8102677466717258E-2</v>
      </c>
      <c r="H23" s="8">
        <f t="shared" si="44"/>
        <v>2.1164270934138991E-2</v>
      </c>
      <c r="I23" s="8">
        <f t="shared" si="44"/>
        <v>2.3431007211602906E-2</v>
      </c>
      <c r="J23" s="8">
        <f t="shared" si="44"/>
        <v>3.9235854834403804E-2</v>
      </c>
      <c r="K23" s="8">
        <f t="shared" si="44"/>
        <v>5.8243974312226991E-2</v>
      </c>
      <c r="L23" s="8">
        <f t="shared" si="44"/>
        <v>7.9897681765129333E-2</v>
      </c>
      <c r="M23" s="8">
        <f t="shared" si="44"/>
        <v>7.8623919605085871E-2</v>
      </c>
      <c r="N23" s="8">
        <f t="shared" si="44"/>
        <v>0.10842003167891259</v>
      </c>
      <c r="O23" s="8">
        <f t="shared" si="44"/>
        <v>9.9806050940348834E-2</v>
      </c>
      <c r="P23" s="8">
        <f t="shared" si="44"/>
        <v>0.11123699465624351</v>
      </c>
      <c r="Q23" s="8">
        <f t="shared" si="44"/>
        <v>0.11384404021470564</v>
      </c>
      <c r="R23" s="8">
        <f>+R13/R5</f>
        <v>0.12021173402198282</v>
      </c>
      <c r="Y23" s="8">
        <f t="shared" ref="Y23:AS23" si="45">+Y13/Y5</f>
        <v>3.4948532386389177E-3</v>
      </c>
      <c r="Z23" s="8">
        <f t="shared" si="45"/>
        <v>2.2466029942246231E-2</v>
      </c>
      <c r="AA23" s="8">
        <f t="shared" si="45"/>
        <v>3.1275048350209944E-2</v>
      </c>
      <c r="AB23" s="8">
        <f t="shared" si="45"/>
        <v>2.4287947106248525E-2</v>
      </c>
      <c r="AC23" s="8">
        <f t="shared" si="45"/>
        <v>5.460588182251478E-2</v>
      </c>
      <c r="AD23" s="8">
        <f t="shared" si="45"/>
        <v>5.2552028004933658E-2</v>
      </c>
      <c r="AE23" s="8">
        <f t="shared" si="45"/>
        <v>5.9119731443491232E-2</v>
      </c>
      <c r="AF23" s="8">
        <f t="shared" si="45"/>
        <v>5.3025594305565013E-2</v>
      </c>
      <c r="AG23" s="8">
        <f t="shared" si="45"/>
        <v>2.6286861627719205E-2</v>
      </c>
      <c r="AH23" s="8">
        <f t="shared" si="45"/>
        <v>6.5448819993562807E-2</v>
      </c>
      <c r="AI23" s="8">
        <f t="shared" si="45"/>
        <v>0.10872015286248803</v>
      </c>
      <c r="AJ23" s="8">
        <f t="shared" si="45"/>
        <v>0.11617821264945924</v>
      </c>
      <c r="AK23" s="8">
        <f t="shared" si="45"/>
        <v>0.12342234394995112</v>
      </c>
      <c r="AL23" s="8">
        <f t="shared" si="45"/>
        <v>0.13045527718562103</v>
      </c>
      <c r="AM23" s="8">
        <f t="shared" si="45"/>
        <v>0.13727963803486731</v>
      </c>
      <c r="AN23" s="8">
        <f t="shared" si="45"/>
        <v>0.14389794966616509</v>
      </c>
      <c r="AO23" s="8">
        <f t="shared" si="45"/>
        <v>0.15031263489102953</v>
      </c>
      <c r="AP23" s="8">
        <f t="shared" si="45"/>
        <v>0.15652601823889511</v>
      </c>
      <c r="AQ23" s="8">
        <f t="shared" si="45"/>
        <v>0.16254032795610909</v>
      </c>
      <c r="AR23" s="8">
        <f t="shared" si="45"/>
        <v>0.16835769793116953</v>
      </c>
      <c r="AS23" s="8">
        <f t="shared" si="45"/>
        <v>0.17398016954825779</v>
      </c>
      <c r="AU23" s="8" t="s">
        <v>77</v>
      </c>
      <c r="AV23" s="8">
        <v>0.01</v>
      </c>
    </row>
    <row r="24" spans="1:146" s="8" customFormat="1" x14ac:dyDescent="0.2">
      <c r="A24" s="8" t="s">
        <v>13</v>
      </c>
      <c r="B24" s="8">
        <f t="shared" ref="B24:Q24" si="46">+B18/B5</f>
        <v>5.7622921825256454E-2</v>
      </c>
      <c r="C24" s="8">
        <f t="shared" si="46"/>
        <v>5.7622921825256454E-2</v>
      </c>
      <c r="D24" s="8">
        <f t="shared" si="46"/>
        <v>2.9888459733602858E-2</v>
      </c>
      <c r="E24" s="8">
        <f t="shared" si="46"/>
        <v>1.8182502635145311E-2</v>
      </c>
      <c r="F24" s="8">
        <f t="shared" si="46"/>
        <v>4.2732987530486759E-2</v>
      </c>
      <c r="G24" s="8">
        <f t="shared" si="46"/>
        <v>2.9851361829189831E-2</v>
      </c>
      <c r="H24" s="8">
        <f t="shared" si="46"/>
        <v>1.7946357621104476E-2</v>
      </c>
      <c r="I24" s="8">
        <f t="shared" si="46"/>
        <v>2.9985791265649715E-2</v>
      </c>
      <c r="J24" s="8">
        <f t="shared" si="46"/>
        <v>3.012767160288321E-2</v>
      </c>
      <c r="K24" s="8">
        <f t="shared" si="46"/>
        <v>6.2894860212973372E-2</v>
      </c>
      <c r="L24" s="8">
        <f t="shared" si="46"/>
        <v>6.357149346882579E-2</v>
      </c>
      <c r="M24" s="8">
        <f t="shared" si="46"/>
        <v>6.171415795388354E-2</v>
      </c>
      <c r="N24" s="8">
        <f t="shared" si="46"/>
        <v>9.3641190959647763E-2</v>
      </c>
      <c r="O24" s="8">
        <f t="shared" si="46"/>
        <v>9.1858869959520736E-2</v>
      </c>
      <c r="P24" s="8">
        <f t="shared" si="46"/>
        <v>9.8315048748402856E-2</v>
      </c>
      <c r="Q24" s="8">
        <f t="shared" si="46"/>
        <v>0.10507369856010906</v>
      </c>
      <c r="R24" s="8">
        <f t="shared" ref="R24" si="47">+R18/R5</f>
        <v>9.4335986432577235E-2</v>
      </c>
      <c r="Y24" s="8">
        <f t="shared" ref="Y24:AH24" si="48">+Y18/Y5</f>
        <v>-3.0341169595900572E-4</v>
      </c>
      <c r="Z24" s="8">
        <f t="shared" si="48"/>
        <v>9.765807524811692E-3</v>
      </c>
      <c r="AA24" s="8">
        <f t="shared" si="48"/>
        <v>1.7972306176325677E-2</v>
      </c>
      <c r="AB24" s="8">
        <f t="shared" si="48"/>
        <v>1.6332519986956472E-2</v>
      </c>
      <c r="AC24" s="8">
        <f t="shared" si="48"/>
        <v>4.5270882445134338E-2</v>
      </c>
      <c r="AD24" s="8">
        <f t="shared" si="48"/>
        <v>4.1351480454295916E-2</v>
      </c>
      <c r="AE24" s="8">
        <f t="shared" si="48"/>
        <v>4.8875316009780762E-2</v>
      </c>
      <c r="AF24" s="8">
        <f t="shared" si="48"/>
        <v>3.9930437299911449E-2</v>
      </c>
      <c r="AG24" s="8">
        <f t="shared" si="48"/>
        <v>2.9864800975907765E-2</v>
      </c>
      <c r="AH24" s="8">
        <f t="shared" si="48"/>
        <v>5.2656210583087587E-2</v>
      </c>
      <c r="AI24" s="8">
        <f t="shared" ref="AI24" si="49">+AI18/AI5</f>
        <v>9.7757065892949233E-2</v>
      </c>
      <c r="AJ24" s="8">
        <f t="shared" ref="AJ24:AS24" si="50">+AJ18/AJ5</f>
        <v>9.2831591200859445E-2</v>
      </c>
      <c r="AK24" s="8">
        <f t="shared" si="50"/>
        <v>0.10188177128251154</v>
      </c>
      <c r="AL24" s="8">
        <f t="shared" si="50"/>
        <v>0.11080214301047155</v>
      </c>
      <c r="AM24" s="8">
        <f t="shared" si="50"/>
        <v>0.11958625705241464</v>
      </c>
      <c r="AN24" s="8">
        <f t="shared" si="50"/>
        <v>0.1282281371024257</v>
      </c>
      <c r="AO24" s="8">
        <f t="shared" si="50"/>
        <v>0.13672224778783737</v>
      </c>
      <c r="AP24" s="8">
        <f t="shared" si="50"/>
        <v>0.14506346444611667</v>
      </c>
      <c r="AQ24" s="8">
        <f t="shared" si="50"/>
        <v>0.15324704466472347</v>
      </c>
      <c r="AR24" s="8">
        <f t="shared" si="50"/>
        <v>0.16126860148286204</v>
      </c>
      <c r="AS24" s="8">
        <f t="shared" si="50"/>
        <v>0.1691240781597001</v>
      </c>
      <c r="AU24" s="8" t="s">
        <v>78</v>
      </c>
      <c r="AV24" s="8">
        <v>0.08</v>
      </c>
    </row>
    <row r="25" spans="1:146" s="8" customFormat="1" x14ac:dyDescent="0.2">
      <c r="A25" s="8" t="s">
        <v>14</v>
      </c>
      <c r="B25" s="9" t="s">
        <v>75</v>
      </c>
      <c r="C25" s="8">
        <f>+C17/C16</f>
        <v>0.11755146262188516</v>
      </c>
      <c r="D25" s="8">
        <f>+D17/D16</f>
        <v>0.25856279382135661</v>
      </c>
      <c r="E25" s="8">
        <f>+E17/E16</f>
        <v>0.44032444959443801</v>
      </c>
      <c r="F25" s="8">
        <f>+F17/F16</f>
        <v>-0.4001125492402926</v>
      </c>
      <c r="G25" s="9" t="s">
        <v>75</v>
      </c>
      <c r="H25" s="8">
        <f>+H17/H16</f>
        <v>2.9361702127659574E-2</v>
      </c>
      <c r="I25" s="9" t="s">
        <v>75</v>
      </c>
      <c r="J25" s="8">
        <f t="shared" ref="J25:P25" si="51">+J17/J16</f>
        <v>0.1981191222570533</v>
      </c>
      <c r="K25" s="9" t="s">
        <v>75</v>
      </c>
      <c r="L25" s="8">
        <f t="shared" si="51"/>
        <v>0.20224522013681812</v>
      </c>
      <c r="M25" s="8">
        <f t="shared" si="51"/>
        <v>0.22596118367648144</v>
      </c>
      <c r="N25" s="8">
        <f t="shared" si="51"/>
        <v>0.15528419462453577</v>
      </c>
      <c r="O25" s="8">
        <f t="shared" si="51"/>
        <v>0.1150390625</v>
      </c>
      <c r="P25" s="8">
        <f t="shared" si="51"/>
        <v>0.14765906362545017</v>
      </c>
      <c r="Q25" s="8">
        <v>0.15</v>
      </c>
      <c r="R25" s="8">
        <v>0.15</v>
      </c>
      <c r="Y25" s="9" t="s">
        <v>75</v>
      </c>
      <c r="Z25" s="8">
        <f t="shared" ref="Z25:AH25" si="52">+Z17/Z16</f>
        <v>0.47619047619047616</v>
      </c>
      <c r="AA25" s="8">
        <f t="shared" si="52"/>
        <v>0.36831222538123548</v>
      </c>
      <c r="AB25" s="8">
        <f t="shared" si="52"/>
        <v>0.20930865541643984</v>
      </c>
      <c r="AC25" s="8">
        <f t="shared" si="52"/>
        <v>0.10195911413969336</v>
      </c>
      <c r="AD25" s="8">
        <f t="shared" si="52"/>
        <v>0.16988693287533993</v>
      </c>
      <c r="AE25" s="8">
        <f t="shared" si="52"/>
        <v>0.13174121111724646</v>
      </c>
      <c r="AF25" s="8">
        <f t="shared" si="52"/>
        <v>0.20343949044585988</v>
      </c>
      <c r="AG25" s="8">
        <f t="shared" si="52"/>
        <v>-0.2651446468309569</v>
      </c>
      <c r="AH25" s="8">
        <f t="shared" si="52"/>
        <v>0.19044562135558765</v>
      </c>
      <c r="AI25" s="8">
        <f t="shared" ref="AI25" si="53">+AI17/AI16</f>
        <v>0.1293452464051375</v>
      </c>
      <c r="AJ25" s="8">
        <f t="shared" ref="AJ25:AS25" si="54">+AJ17/AJ16</f>
        <v>0.2</v>
      </c>
      <c r="AK25" s="8">
        <f t="shared" si="54"/>
        <v>0.2</v>
      </c>
      <c r="AL25" s="8">
        <f t="shared" si="54"/>
        <v>0.2</v>
      </c>
      <c r="AM25" s="8">
        <f t="shared" si="54"/>
        <v>0.2</v>
      </c>
      <c r="AN25" s="8">
        <f t="shared" si="54"/>
        <v>0.19999999999999998</v>
      </c>
      <c r="AO25" s="8">
        <f t="shared" si="54"/>
        <v>0.19999999999999998</v>
      </c>
      <c r="AP25" s="8">
        <f t="shared" si="54"/>
        <v>0.20000000000000004</v>
      </c>
      <c r="AQ25" s="8">
        <f t="shared" si="54"/>
        <v>0.2</v>
      </c>
      <c r="AR25" s="8">
        <f t="shared" si="54"/>
        <v>0.2</v>
      </c>
      <c r="AS25" s="8">
        <f t="shared" si="54"/>
        <v>0.19999999999999998</v>
      </c>
      <c r="AU25" s="2" t="s">
        <v>79</v>
      </c>
      <c r="AV25" s="2">
        <f>+NPV(AV24,AI18:EP18)+Main!L6-Main!L7</f>
        <v>2700004.6570431059</v>
      </c>
    </row>
    <row r="26" spans="1:146" s="8" customFormat="1" x14ac:dyDescent="0.2">
      <c r="B26" s="9"/>
      <c r="G26" s="9"/>
      <c r="I26" s="9"/>
      <c r="K26" s="9"/>
      <c r="Y26" s="9"/>
      <c r="AU26" s="21" t="s">
        <v>83</v>
      </c>
      <c r="AV26" s="7">
        <f>+AV25/Main!L4</f>
        <v>250.16257361652052</v>
      </c>
    </row>
    <row r="27" spans="1:146" s="10" customFormat="1" x14ac:dyDescent="0.2">
      <c r="A27" s="10" t="s">
        <v>15</v>
      </c>
      <c r="F27" s="10">
        <f t="shared" ref="F27:R27" si="55">+F5/B5-1</f>
        <v>2.97488503714185E-2</v>
      </c>
      <c r="G27" s="10">
        <f t="shared" si="55"/>
        <v>7.2108241952600016E-2</v>
      </c>
      <c r="H27" s="10">
        <f t="shared" si="55"/>
        <v>0.14699671515720314</v>
      </c>
      <c r="I27" s="10">
        <f t="shared" si="55"/>
        <v>0.12335491642824881</v>
      </c>
      <c r="J27" s="10">
        <f t="shared" si="55"/>
        <v>9.3727456975026602E-2</v>
      </c>
      <c r="K27" s="10">
        <f t="shared" si="55"/>
        <v>0.10845967302901816</v>
      </c>
      <c r="L27" s="10">
        <f t="shared" si="55"/>
        <v>0.125742519728405</v>
      </c>
      <c r="M27" s="10">
        <f t="shared" si="55"/>
        <v>0.13911825420230017</v>
      </c>
      <c r="N27" s="10">
        <f t="shared" si="55"/>
        <v>0.12527677884388888</v>
      </c>
      <c r="O27" s="10">
        <f t="shared" si="55"/>
        <v>0.10115862869559389</v>
      </c>
      <c r="P27" s="10">
        <f t="shared" si="55"/>
        <v>0.11038348371225104</v>
      </c>
      <c r="Q27" s="10">
        <f t="shared" si="55"/>
        <v>0.10491230341078239</v>
      </c>
      <c r="R27" s="10">
        <f t="shared" si="55"/>
        <v>8.6202926461660834E-2</v>
      </c>
      <c r="Y27" s="10" t="e">
        <f t="shared" ref="Y27:AS27" si="56">+Y5/X5-1</f>
        <v>#DIV/0!</v>
      </c>
      <c r="Z27" s="10">
        <f t="shared" si="56"/>
        <v>0.20247673843664304</v>
      </c>
      <c r="AA27" s="10">
        <f t="shared" si="56"/>
        <v>0.27083528026465808</v>
      </c>
      <c r="AB27" s="10">
        <f t="shared" si="56"/>
        <v>0.30796326119408479</v>
      </c>
      <c r="AC27" s="10">
        <f t="shared" si="56"/>
        <v>0.3093396152159491</v>
      </c>
      <c r="AD27" s="10">
        <f t="shared" si="56"/>
        <v>0.20454125820676983</v>
      </c>
      <c r="AE27" s="10">
        <f t="shared" si="56"/>
        <v>0.37623430604373276</v>
      </c>
      <c r="AF27" s="10">
        <f t="shared" si="56"/>
        <v>0.21687595839031881</v>
      </c>
      <c r="AG27" s="10">
        <f t="shared" si="56"/>
        <v>9.406503303589675E-2</v>
      </c>
      <c r="AH27" s="10">
        <f t="shared" si="56"/>
        <v>0.1182957412988368</v>
      </c>
      <c r="AI27" s="10">
        <f t="shared" si="56"/>
        <v>0.1099089224666614</v>
      </c>
      <c r="AJ27" s="10">
        <f t="shared" si="56"/>
        <v>0.10000000000000009</v>
      </c>
      <c r="AK27" s="10">
        <f t="shared" si="56"/>
        <v>0.10000000000000009</v>
      </c>
      <c r="AL27" s="10">
        <f t="shared" si="56"/>
        <v>0.10000000000000009</v>
      </c>
      <c r="AM27" s="10">
        <f t="shared" si="56"/>
        <v>0.10000000000000009</v>
      </c>
      <c r="AN27" s="10">
        <f t="shared" si="56"/>
        <v>0.10000000000000009</v>
      </c>
      <c r="AO27" s="10">
        <f t="shared" si="56"/>
        <v>0.10000000000000009</v>
      </c>
      <c r="AP27" s="10">
        <f t="shared" si="56"/>
        <v>0.10000000000000009</v>
      </c>
      <c r="AQ27" s="10">
        <f t="shared" si="56"/>
        <v>0.10000000000000009</v>
      </c>
      <c r="AR27" s="10">
        <f t="shared" si="56"/>
        <v>0.10000000000000009</v>
      </c>
      <c r="AS27" s="10">
        <f t="shared" si="56"/>
        <v>0.10000000000000009</v>
      </c>
      <c r="AU27" s="18" t="s">
        <v>88</v>
      </c>
      <c r="AV27" s="8">
        <f>+AV26/Main!L3-1</f>
        <v>0.29887109873582829</v>
      </c>
    </row>
    <row r="28" spans="1:146" s="10" customFormat="1" x14ac:dyDescent="0.2"/>
    <row r="29" spans="1:146" s="8" customFormat="1" x14ac:dyDescent="0.2">
      <c r="Q29" s="8">
        <f>+SUM(N14:Q14)/Q31</f>
        <v>4.6214501689689928E-2</v>
      </c>
      <c r="R29" s="8">
        <f>+SUM(O14:R14)/R31</f>
        <v>5.023000052873685E-2</v>
      </c>
      <c r="AI29" s="2"/>
    </row>
    <row r="30" spans="1:146" x14ac:dyDescent="0.2">
      <c r="A30" s="2" t="s">
        <v>44</v>
      </c>
      <c r="M30" s="2">
        <f>+M31-M43</f>
        <v>2876</v>
      </c>
      <c r="N30" s="2">
        <f>+N31-N43</f>
        <v>27440</v>
      </c>
      <c r="O30" s="2">
        <f>+O31-O43</f>
        <v>28466</v>
      </c>
      <c r="P30" s="2">
        <f>+P31-P43</f>
        <v>33161</v>
      </c>
      <c r="Q30" s="2">
        <f>+Q31-Q43</f>
        <v>48579</v>
      </c>
      <c r="R30" s="2">
        <f>+R31-R43</f>
        <v>41191</v>
      </c>
      <c r="AH30" s="2">
        <f>+AH31-AH43</f>
        <v>2876</v>
      </c>
      <c r="AI30" s="2">
        <f>+AI31-AI43</f>
        <v>48579</v>
      </c>
      <c r="AJ30" s="2">
        <f t="shared" ref="AJ30:AS30" si="57">+AI30+AJ18</f>
        <v>113724.024</v>
      </c>
      <c r="AK30" s="2">
        <f t="shared" si="57"/>
        <v>192369.65943999996</v>
      </c>
      <c r="AL30" s="2">
        <f t="shared" si="57"/>
        <v>286454.35505359998</v>
      </c>
      <c r="AM30" s="2">
        <f t="shared" si="57"/>
        <v>398152.19696818397</v>
      </c>
      <c r="AN30" s="2">
        <f t="shared" si="57"/>
        <v>529898.83068772359</v>
      </c>
      <c r="AO30" s="2">
        <f t="shared" si="57"/>
        <v>684420.02968830673</v>
      </c>
      <c r="AP30" s="2">
        <f t="shared" si="57"/>
        <v>864763.16258788959</v>
      </c>
      <c r="AQ30" s="2">
        <f t="shared" si="57"/>
        <v>1074331.8329126951</v>
      </c>
      <c r="AR30" s="2">
        <f t="shared" si="57"/>
        <v>1316923.9892379951</v>
      </c>
      <c r="AS30" s="2">
        <f t="shared" si="57"/>
        <v>1596773.8290272693</v>
      </c>
    </row>
    <row r="31" spans="1:146" x14ac:dyDescent="0.2">
      <c r="A31" s="2" t="s">
        <v>34</v>
      </c>
      <c r="M31" s="2">
        <f>53888+16138</f>
        <v>70026</v>
      </c>
      <c r="N31" s="2">
        <f>72852+12222</f>
        <v>85074</v>
      </c>
      <c r="O31" s="2">
        <f>73387+13393</f>
        <v>86780</v>
      </c>
      <c r="P31" s="2">
        <f>75091+12960</f>
        <v>88051</v>
      </c>
      <c r="Q31" s="2">
        <f>78779+22423</f>
        <v>101202</v>
      </c>
      <c r="R31" s="2">
        <f>66207+28358</f>
        <v>94565</v>
      </c>
      <c r="AH31" s="2">
        <f>53888+16138</f>
        <v>70026</v>
      </c>
      <c r="AI31" s="2">
        <f>78779+22423</f>
        <v>101202</v>
      </c>
    </row>
    <row r="32" spans="1:146" x14ac:dyDescent="0.2">
      <c r="A32" s="18" t="s">
        <v>63</v>
      </c>
      <c r="M32" s="2">
        <v>34405</v>
      </c>
      <c r="N32" s="2">
        <v>31147</v>
      </c>
      <c r="O32" s="2">
        <v>33318</v>
      </c>
      <c r="P32" s="2">
        <v>36103</v>
      </c>
      <c r="Q32" s="2">
        <v>34214</v>
      </c>
      <c r="R32" s="2">
        <v>35864</v>
      </c>
      <c r="AH32" s="2">
        <v>34405</v>
      </c>
      <c r="AI32" s="2">
        <v>34214</v>
      </c>
    </row>
    <row r="33" spans="1:48" x14ac:dyDescent="0.2">
      <c r="A33" s="2" t="s">
        <v>45</v>
      </c>
      <c r="M33" s="2">
        <v>42360</v>
      </c>
      <c r="N33" s="2">
        <v>47768</v>
      </c>
      <c r="O33" s="2">
        <v>52253</v>
      </c>
      <c r="P33" s="2">
        <v>51638</v>
      </c>
      <c r="Q33" s="2">
        <v>55451</v>
      </c>
      <c r="R33" s="2">
        <v>54216</v>
      </c>
      <c r="AH33" s="2">
        <v>42360</v>
      </c>
      <c r="AI33" s="2">
        <v>55451</v>
      </c>
    </row>
    <row r="34" spans="1:48" x14ac:dyDescent="0.2">
      <c r="A34" s="2" t="s">
        <v>46</v>
      </c>
      <c r="M34" s="2">
        <v>186715</v>
      </c>
      <c r="N34" s="2">
        <v>209950</v>
      </c>
      <c r="O34" s="2">
        <v>204177</v>
      </c>
      <c r="P34" s="2">
        <v>237917</v>
      </c>
      <c r="Q34" s="2">
        <v>252665</v>
      </c>
      <c r="R34" s="2">
        <v>272781</v>
      </c>
      <c r="AH34" s="2">
        <v>186715</v>
      </c>
      <c r="AI34" s="2">
        <v>252665</v>
      </c>
    </row>
    <row r="35" spans="1:48" x14ac:dyDescent="0.2">
      <c r="A35" s="2" t="s">
        <v>47</v>
      </c>
      <c r="M35" s="2">
        <v>66123</v>
      </c>
      <c r="N35" s="2">
        <v>73313</v>
      </c>
      <c r="O35" s="2">
        <v>72513</v>
      </c>
      <c r="P35" s="2">
        <v>76527</v>
      </c>
      <c r="Q35" s="2">
        <v>76141</v>
      </c>
      <c r="R35" s="2">
        <v>78495</v>
      </c>
      <c r="AH35" s="2">
        <v>66123</v>
      </c>
      <c r="AI35" s="2">
        <v>76141</v>
      </c>
    </row>
    <row r="36" spans="1:48" x14ac:dyDescent="0.2">
      <c r="A36" s="2" t="s">
        <v>48</v>
      </c>
      <c r="M36" s="2">
        <v>20288</v>
      </c>
      <c r="N36" s="2">
        <v>22770</v>
      </c>
      <c r="O36" s="2">
        <v>22789</v>
      </c>
      <c r="P36" s="2">
        <v>23081</v>
      </c>
      <c r="Q36" s="2">
        <v>23074</v>
      </c>
      <c r="R36" s="2">
        <v>23089</v>
      </c>
      <c r="AH36" s="2">
        <v>20288</v>
      </c>
      <c r="AI36" s="2">
        <v>23074</v>
      </c>
      <c r="AU36" s="5"/>
      <c r="AV36" s="5"/>
    </row>
    <row r="37" spans="1:48" x14ac:dyDescent="0.2">
      <c r="A37" s="2" t="s">
        <v>49</v>
      </c>
      <c r="M37" s="2">
        <v>42758</v>
      </c>
      <c r="N37" s="2">
        <v>60947</v>
      </c>
      <c r="O37" s="2">
        <v>56024</v>
      </c>
      <c r="P37" s="2">
        <v>71309</v>
      </c>
      <c r="Q37" s="2">
        <v>82147</v>
      </c>
      <c r="R37" s="2">
        <v>84246</v>
      </c>
      <c r="AH37" s="2">
        <v>42758</v>
      </c>
      <c r="AI37" s="2">
        <v>82147</v>
      </c>
    </row>
    <row r="38" spans="1:48" s="5" customFormat="1" x14ac:dyDescent="0.2">
      <c r="A38" s="5" t="s">
        <v>50</v>
      </c>
      <c r="M38" s="5">
        <f>+SUM(M31:M37)</f>
        <v>462675</v>
      </c>
      <c r="N38" s="5">
        <f>+SUM(N31:N37)</f>
        <v>530969</v>
      </c>
      <c r="O38" s="5">
        <f>+SUM(O31:O37)</f>
        <v>527854</v>
      </c>
      <c r="P38" s="5">
        <f>+SUM(P31:P37)</f>
        <v>584626</v>
      </c>
      <c r="Q38" s="5">
        <f>+SUM(Q31:Q37)</f>
        <v>624894</v>
      </c>
      <c r="R38" s="5">
        <f>+SUM(R31:R37)</f>
        <v>643256</v>
      </c>
      <c r="AH38" s="5">
        <f>+SUM(AH31:AH37)</f>
        <v>462675</v>
      </c>
      <c r="AI38" s="5">
        <f>+SUM(AI31:AI37)</f>
        <v>624894</v>
      </c>
      <c r="AU38" s="2"/>
      <c r="AV38" s="2"/>
    </row>
    <row r="39" spans="1:48" x14ac:dyDescent="0.2">
      <c r="A39" s="2" t="s">
        <v>51</v>
      </c>
      <c r="M39" s="2">
        <v>79600</v>
      </c>
      <c r="N39" s="2">
        <v>73068</v>
      </c>
      <c r="O39" s="2">
        <v>84981</v>
      </c>
      <c r="P39" s="2">
        <v>84570</v>
      </c>
      <c r="Q39" s="2">
        <v>94363</v>
      </c>
      <c r="R39" s="2">
        <v>89241</v>
      </c>
      <c r="AH39" s="2">
        <v>79600</v>
      </c>
      <c r="AI39" s="2">
        <v>94363</v>
      </c>
    </row>
    <row r="40" spans="1:48" x14ac:dyDescent="0.2">
      <c r="A40" s="2" t="s">
        <v>52</v>
      </c>
      <c r="M40" s="2">
        <v>62566</v>
      </c>
      <c r="N40" s="2">
        <v>63970</v>
      </c>
      <c r="O40" s="2">
        <v>64709</v>
      </c>
      <c r="P40" s="2">
        <v>60602</v>
      </c>
      <c r="Q40" s="2">
        <v>66965</v>
      </c>
      <c r="R40" s="2">
        <v>66331</v>
      </c>
      <c r="AH40" s="2">
        <v>62566</v>
      </c>
      <c r="AI40" s="2">
        <v>66965</v>
      </c>
    </row>
    <row r="41" spans="1:48" x14ac:dyDescent="0.2">
      <c r="A41" s="2" t="s">
        <v>53</v>
      </c>
      <c r="M41" s="2">
        <v>13227</v>
      </c>
      <c r="N41" s="2">
        <v>15927</v>
      </c>
      <c r="O41" s="2">
        <v>15227</v>
      </c>
      <c r="P41" s="2">
        <v>16305</v>
      </c>
      <c r="Q41" s="2">
        <v>18103</v>
      </c>
      <c r="R41" s="2">
        <v>20599</v>
      </c>
      <c r="AH41" s="2">
        <v>13227</v>
      </c>
      <c r="AI41" s="2">
        <v>18103</v>
      </c>
    </row>
    <row r="42" spans="1:48" x14ac:dyDescent="0.2">
      <c r="A42" s="2" t="s">
        <v>47</v>
      </c>
      <c r="M42" s="2">
        <v>72968</v>
      </c>
      <c r="N42" s="2">
        <v>77052</v>
      </c>
      <c r="O42" s="2">
        <v>77297</v>
      </c>
      <c r="P42" s="2">
        <v>79802</v>
      </c>
      <c r="Q42" s="2">
        <v>78277</v>
      </c>
      <c r="R42" s="2">
        <v>79871</v>
      </c>
      <c r="AH42" s="2">
        <v>72968</v>
      </c>
      <c r="AI42" s="2">
        <v>78277</v>
      </c>
    </row>
    <row r="43" spans="1:48" x14ac:dyDescent="0.2">
      <c r="A43" s="2" t="s">
        <v>35</v>
      </c>
      <c r="M43" s="2">
        <v>67150</v>
      </c>
      <c r="N43" s="2">
        <v>57634</v>
      </c>
      <c r="O43" s="2">
        <v>58314</v>
      </c>
      <c r="P43" s="2">
        <v>54890</v>
      </c>
      <c r="Q43" s="2">
        <v>52623</v>
      </c>
      <c r="R43" s="2">
        <v>53374</v>
      </c>
      <c r="AH43" s="2">
        <v>67150</v>
      </c>
      <c r="AI43" s="2">
        <v>52623</v>
      </c>
      <c r="AU43" s="5"/>
      <c r="AV43" s="5"/>
    </row>
    <row r="44" spans="1:48" x14ac:dyDescent="0.2">
      <c r="A44" s="2" t="s">
        <v>49</v>
      </c>
      <c r="M44" s="2">
        <v>21121</v>
      </c>
      <c r="N44" s="2">
        <v>26657</v>
      </c>
      <c r="O44" s="2">
        <v>25451</v>
      </c>
      <c r="P44" s="2">
        <v>29306</v>
      </c>
      <c r="Q44" s="2">
        <v>28593</v>
      </c>
      <c r="R44" s="2">
        <v>27973</v>
      </c>
      <c r="AH44" s="2">
        <v>21121</v>
      </c>
      <c r="AI44" s="2">
        <v>28593</v>
      </c>
    </row>
    <row r="45" spans="1:48" s="5" customFormat="1" x14ac:dyDescent="0.2">
      <c r="A45" s="5" t="s">
        <v>56</v>
      </c>
      <c r="M45" s="5">
        <f>+SUM(M39:M44)</f>
        <v>316632</v>
      </c>
      <c r="N45" s="5">
        <f>+SUM(N39:N44)</f>
        <v>314308</v>
      </c>
      <c r="O45" s="5">
        <f>+SUM(O39:O44)</f>
        <v>325979</v>
      </c>
      <c r="P45" s="5">
        <f>+SUM(P39:P44)</f>
        <v>325475</v>
      </c>
      <c r="Q45" s="5">
        <f>+SUM(Q39:Q44)</f>
        <v>338924</v>
      </c>
      <c r="R45" s="5">
        <f>+SUM(R39:R44)</f>
        <v>337389</v>
      </c>
      <c r="AH45" s="5">
        <f>+SUM(AH39:AH44)</f>
        <v>316632</v>
      </c>
      <c r="AI45" s="5">
        <f>+SUM(AI39:AI44)</f>
        <v>338924</v>
      </c>
      <c r="AU45" s="2"/>
      <c r="AV45" s="2"/>
    </row>
    <row r="46" spans="1:48" x14ac:dyDescent="0.2">
      <c r="A46" s="2" t="s">
        <v>54</v>
      </c>
      <c r="M46" s="2">
        <v>146043</v>
      </c>
      <c r="N46" s="2">
        <v>216661</v>
      </c>
      <c r="O46" s="2">
        <v>201875</v>
      </c>
      <c r="P46" s="2">
        <v>259151</v>
      </c>
      <c r="Q46" s="2">
        <v>285970</v>
      </c>
      <c r="R46" s="2">
        <v>305867</v>
      </c>
      <c r="AH46" s="2">
        <v>146043</v>
      </c>
      <c r="AI46" s="2">
        <v>285970</v>
      </c>
    </row>
    <row r="47" spans="1:48" x14ac:dyDescent="0.2">
      <c r="A47" s="2" t="s">
        <v>55</v>
      </c>
      <c r="M47" s="2">
        <f>+M46+M45</f>
        <v>462675</v>
      </c>
      <c r="N47" s="2">
        <f>+N46+N45</f>
        <v>530969</v>
      </c>
      <c r="O47" s="2">
        <f>+O46+O45</f>
        <v>527854</v>
      </c>
      <c r="P47" s="2">
        <f>+P46+P45</f>
        <v>584626</v>
      </c>
      <c r="Q47" s="2">
        <f>+Q46+Q45</f>
        <v>624894</v>
      </c>
      <c r="R47" s="2">
        <f>+R46+R45</f>
        <v>643256</v>
      </c>
      <c r="AH47" s="2">
        <f>+AH46+AH45</f>
        <v>462675</v>
      </c>
      <c r="AI47" s="2">
        <f>+AI46+AI45</f>
        <v>624894</v>
      </c>
    </row>
    <row r="48" spans="1:48" x14ac:dyDescent="0.2">
      <c r="AU48" s="8"/>
      <c r="AV48" s="8"/>
    </row>
    <row r="49" spans="1:48" x14ac:dyDescent="0.2">
      <c r="A49" s="2" t="s">
        <v>70</v>
      </c>
      <c r="J49" s="2">
        <f>+SUM(G18:J18)</f>
        <v>14211</v>
      </c>
      <c r="K49" s="2">
        <f>+SUM(G18:K18)</f>
        <v>22663</v>
      </c>
      <c r="L49" s="2">
        <f t="shared" ref="L49:R49" si="58">+SUM(I18:L18)</f>
        <v>25859</v>
      </c>
      <c r="M49" s="2">
        <f t="shared" si="58"/>
        <v>31874</v>
      </c>
      <c r="N49" s="2">
        <f t="shared" si="58"/>
        <v>41457</v>
      </c>
      <c r="O49" s="2">
        <f t="shared" si="58"/>
        <v>46598</v>
      </c>
      <c r="P49" s="2">
        <f t="shared" si="58"/>
        <v>53122</v>
      </c>
      <c r="Q49" s="2">
        <f t="shared" si="58"/>
        <v>62365</v>
      </c>
      <c r="R49" s="2">
        <f t="shared" si="58"/>
        <v>63630</v>
      </c>
    </row>
    <row r="50" spans="1:48" s="8" customFormat="1" x14ac:dyDescent="0.2">
      <c r="A50" s="23" t="s">
        <v>90</v>
      </c>
      <c r="M50" s="8">
        <f>+M49/(M32+M33+M34+M35+M37)</f>
        <v>8.5599727146505669E-2</v>
      </c>
      <c r="N50" s="8">
        <f>+N49/(N32+N33+N34+N35+N37)</f>
        <v>9.7978138847858193E-2</v>
      </c>
      <c r="O50" s="8">
        <f>+O49/(O32+O33+O34+O35+O37)</f>
        <v>0.11140251264090273</v>
      </c>
      <c r="P50" s="8">
        <f>+P49/(P32+P33+P34+P35+P37)</f>
        <v>0.11219149556277376</v>
      </c>
      <c r="Q50" s="8">
        <f>+Q49/(Q32+Q33+Q34+Q35+Q37)</f>
        <v>0.12457602403429362</v>
      </c>
      <c r="R50" s="8">
        <f>+R49/(R32+R33+R34+R35+R37)</f>
        <v>0.12106118317662413</v>
      </c>
    </row>
    <row r="51" spans="1:48" x14ac:dyDescent="0.2">
      <c r="A51" s="2" t="s">
        <v>71</v>
      </c>
      <c r="M51" s="2">
        <f>+M13*(1-M25)</f>
        <v>10343.480702531178</v>
      </c>
      <c r="N51" s="2">
        <f>+N13*(1-N25)</f>
        <v>13125.194183923963</v>
      </c>
      <c r="O51" s="2">
        <f>+O13*(1-O25)</f>
        <v>13069.988085937501</v>
      </c>
      <c r="P51" s="2">
        <f>+P13*(1-P25)</f>
        <v>15063.421368547419</v>
      </c>
      <c r="Q51" s="2">
        <f>+Q13*(1-Q25)</f>
        <v>18172.149999999998</v>
      </c>
      <c r="R51" s="2">
        <f>+R13*(1-R25)</f>
        <v>15906.05</v>
      </c>
    </row>
    <row r="52" spans="1:48" s="8" customFormat="1" x14ac:dyDescent="0.2">
      <c r="A52" s="8" t="s">
        <v>72</v>
      </c>
      <c r="M52" s="8">
        <f>+M51/(M46-M30)</f>
        <v>7.2247659743734094E-2</v>
      </c>
      <c r="N52" s="8">
        <f>+N51/(N46-N30)</f>
        <v>6.9364363278515404E-2</v>
      </c>
      <c r="O52" s="8">
        <f>+O51/(O46-O30)</f>
        <v>7.5370875132994827E-2</v>
      </c>
      <c r="P52" s="8">
        <f>+P51/(P46-P30)</f>
        <v>6.6655256288098666E-2</v>
      </c>
      <c r="Q52" s="8">
        <f>+Q51/(Q46-Q30)</f>
        <v>7.6549447957167699E-2</v>
      </c>
      <c r="R52" s="8">
        <f>+R51/(R46-R30)</f>
        <v>6.0096306427481143E-2</v>
      </c>
      <c r="AU52" s="2"/>
      <c r="AV52" s="2"/>
    </row>
    <row r="54" spans="1:48" x14ac:dyDescent="0.2">
      <c r="A54" s="2" t="s">
        <v>57</v>
      </c>
      <c r="M54" s="2">
        <f>+M18</f>
        <v>10489</v>
      </c>
      <c r="N54" s="2">
        <f>+N18</f>
        <v>13420</v>
      </c>
      <c r="O54" s="2">
        <f>+O18</f>
        <v>13593</v>
      </c>
      <c r="P54" s="2">
        <f>+P18</f>
        <v>15620</v>
      </c>
      <c r="Q54" s="2">
        <f>+Q18</f>
        <v>19732</v>
      </c>
      <c r="R54" s="2">
        <f>+R18</f>
        <v>14685</v>
      </c>
      <c r="AI54" s="2">
        <f>+AI18</f>
        <v>62365</v>
      </c>
    </row>
    <row r="55" spans="1:48" x14ac:dyDescent="0.2">
      <c r="A55" s="2" t="s">
        <v>58</v>
      </c>
      <c r="M55" s="2">
        <v>278</v>
      </c>
      <c r="N55" s="2">
        <v>10431</v>
      </c>
      <c r="O55" s="2">
        <v>13485</v>
      </c>
      <c r="P55" s="2">
        <v>15328</v>
      </c>
      <c r="Q55" s="2">
        <v>20004</v>
      </c>
      <c r="R55" s="2">
        <v>17127</v>
      </c>
      <c r="AI55" s="2">
        <f>+SUM(N55:Q55)</f>
        <v>59248</v>
      </c>
    </row>
    <row r="56" spans="1:48" x14ac:dyDescent="0.2">
      <c r="A56" s="2" t="s">
        <v>59</v>
      </c>
      <c r="M56" s="2">
        <v>12685</v>
      </c>
      <c r="N56" s="2">
        <v>11684</v>
      </c>
      <c r="O56" s="2">
        <v>12038</v>
      </c>
      <c r="P56" s="2">
        <v>13442</v>
      </c>
      <c r="Q56" s="2">
        <v>15631</v>
      </c>
      <c r="R56" s="2">
        <v>14262</v>
      </c>
      <c r="AI56" s="2">
        <f t="shared" ref="AI56:AI65" si="59">+SUM(N56:Q56)</f>
        <v>52795</v>
      </c>
    </row>
    <row r="57" spans="1:48" x14ac:dyDescent="0.2">
      <c r="A57" s="2" t="s">
        <v>60</v>
      </c>
      <c r="J57" s="2">
        <v>4748</v>
      </c>
      <c r="K57" s="2">
        <v>7127</v>
      </c>
      <c r="L57" s="2">
        <v>5829</v>
      </c>
      <c r="M57" s="2">
        <v>5606</v>
      </c>
      <c r="N57" s="2">
        <v>4961</v>
      </c>
      <c r="O57" s="2">
        <v>6722</v>
      </c>
      <c r="P57" s="2">
        <v>5333</v>
      </c>
      <c r="Q57" s="2">
        <v>4995</v>
      </c>
      <c r="R57" s="2">
        <v>3689</v>
      </c>
      <c r="AI57" s="2">
        <f t="shared" si="59"/>
        <v>22011</v>
      </c>
    </row>
    <row r="58" spans="1:48" x14ac:dyDescent="0.2">
      <c r="A58" s="2" t="s">
        <v>61</v>
      </c>
      <c r="M58" s="2">
        <v>3445</v>
      </c>
      <c r="N58" s="2">
        <v>2734</v>
      </c>
      <c r="O58" s="2">
        <v>-95</v>
      </c>
      <c r="P58" s="2">
        <v>-141</v>
      </c>
      <c r="Q58" s="2">
        <v>-486</v>
      </c>
      <c r="R58" s="2">
        <v>-2817</v>
      </c>
      <c r="AI58" s="2">
        <f t="shared" si="59"/>
        <v>2012</v>
      </c>
    </row>
    <row r="59" spans="1:48" x14ac:dyDescent="0.2">
      <c r="A59" s="2" t="s">
        <v>62</v>
      </c>
      <c r="M59" s="2">
        <v>-3367</v>
      </c>
      <c r="N59" s="2">
        <v>-938</v>
      </c>
      <c r="O59" s="2">
        <v>-785</v>
      </c>
      <c r="P59" s="2">
        <v>-1317</v>
      </c>
      <c r="Q59" s="2">
        <v>-1608</v>
      </c>
      <c r="R59" s="2">
        <v>507</v>
      </c>
      <c r="AI59" s="2">
        <f t="shared" si="59"/>
        <v>-4648</v>
      </c>
    </row>
    <row r="60" spans="1:48" x14ac:dyDescent="0.2">
      <c r="A60" s="2" t="s">
        <v>63</v>
      </c>
      <c r="M60" s="2">
        <v>3180</v>
      </c>
      <c r="N60" s="2">
        <v>1776</v>
      </c>
      <c r="O60" s="2">
        <v>-3085</v>
      </c>
      <c r="P60" s="2">
        <v>-1509</v>
      </c>
      <c r="Q60" s="2">
        <v>934</v>
      </c>
      <c r="R60" s="2">
        <v>-1222</v>
      </c>
      <c r="AI60" s="2">
        <f t="shared" si="59"/>
        <v>-1884</v>
      </c>
    </row>
    <row r="61" spans="1:48" x14ac:dyDescent="0.2">
      <c r="A61" s="2" t="s">
        <v>45</v>
      </c>
      <c r="M61" s="2">
        <v>-4741</v>
      </c>
      <c r="N61" s="2">
        <v>3684</v>
      </c>
      <c r="O61" s="2">
        <v>-2209</v>
      </c>
      <c r="P61" s="2">
        <v>-701</v>
      </c>
      <c r="Q61" s="2">
        <v>-4023</v>
      </c>
      <c r="R61" s="2">
        <v>1247</v>
      </c>
      <c r="AI61" s="2">
        <f t="shared" si="59"/>
        <v>-3249</v>
      </c>
    </row>
    <row r="62" spans="1:48" x14ac:dyDescent="0.2">
      <c r="A62" s="2" t="s">
        <v>49</v>
      </c>
      <c r="M62" s="2">
        <v>-4047</v>
      </c>
      <c r="N62" s="2">
        <v>-2701</v>
      </c>
      <c r="O62" s="2">
        <v>-3055</v>
      </c>
      <c r="P62" s="2">
        <v>-4537</v>
      </c>
      <c r="Q62" s="2">
        <v>-4190</v>
      </c>
      <c r="R62" s="2">
        <v>-3402</v>
      </c>
      <c r="AI62" s="2">
        <f t="shared" si="59"/>
        <v>-14483</v>
      </c>
    </row>
    <row r="63" spans="1:48" x14ac:dyDescent="0.2">
      <c r="A63" s="2" t="s">
        <v>51</v>
      </c>
      <c r="M63" s="2">
        <v>9852</v>
      </c>
      <c r="N63" s="2">
        <v>-11282</v>
      </c>
      <c r="O63" s="2">
        <v>6005</v>
      </c>
      <c r="P63" s="2">
        <v>-477</v>
      </c>
      <c r="Q63" s="2">
        <v>8726</v>
      </c>
      <c r="R63" s="2">
        <v>-9043</v>
      </c>
      <c r="AI63" s="2">
        <f t="shared" si="59"/>
        <v>2972</v>
      </c>
    </row>
    <row r="64" spans="1:48" x14ac:dyDescent="0.2">
      <c r="A64" s="2" t="s">
        <v>64</v>
      </c>
      <c r="M64" s="2">
        <v>5777</v>
      </c>
      <c r="N64" s="2">
        <v>-2928</v>
      </c>
      <c r="O64" s="2">
        <v>-4147</v>
      </c>
      <c r="P64" s="2">
        <v>129</v>
      </c>
      <c r="Q64" s="2">
        <v>4042</v>
      </c>
      <c r="R64" s="2">
        <v>-4061</v>
      </c>
      <c r="AI64" s="2">
        <f t="shared" si="59"/>
        <v>-2904</v>
      </c>
    </row>
    <row r="65" spans="1:48" x14ac:dyDescent="0.2">
      <c r="A65" s="2" t="s">
        <v>53</v>
      </c>
      <c r="M65" s="2">
        <v>505</v>
      </c>
      <c r="N65" s="2">
        <v>1568</v>
      </c>
      <c r="O65" s="2">
        <v>407</v>
      </c>
      <c r="P65" s="2">
        <v>421</v>
      </c>
      <c r="Q65" s="2">
        <v>1611</v>
      </c>
      <c r="R65" s="2">
        <v>728</v>
      </c>
      <c r="AI65" s="2">
        <f t="shared" si="59"/>
        <v>4007</v>
      </c>
      <c r="AU65" s="5"/>
      <c r="AV65" s="5"/>
    </row>
    <row r="66" spans="1:48" x14ac:dyDescent="0.2">
      <c r="A66" s="2" t="s">
        <v>66</v>
      </c>
      <c r="M66" s="2">
        <f>+SUM(M60:M65)</f>
        <v>10526</v>
      </c>
      <c r="N66" s="2">
        <f>+SUM(N60:N65)</f>
        <v>-9883</v>
      </c>
      <c r="O66" s="2">
        <f>+SUM(O60:O65)</f>
        <v>-6084</v>
      </c>
      <c r="P66" s="2">
        <f>+SUM(P60:P65)</f>
        <v>-6674</v>
      </c>
      <c r="Q66" s="2">
        <f>+SUM(Q60:Q65)</f>
        <v>7100</v>
      </c>
      <c r="R66" s="2">
        <f>+SUM(R60:R65)</f>
        <v>-15753</v>
      </c>
      <c r="AI66" s="2">
        <f>+SUM(AI60:AI65)</f>
        <v>-15541</v>
      </c>
    </row>
    <row r="67" spans="1:48" s="5" customFormat="1" x14ac:dyDescent="0.2">
      <c r="A67" s="5" t="s">
        <v>65</v>
      </c>
      <c r="J67" s="5">
        <v>4788</v>
      </c>
      <c r="K67" s="5">
        <v>16476</v>
      </c>
      <c r="L67" s="5">
        <v>21217</v>
      </c>
      <c r="M67" s="5">
        <f>+M66+SUM(M55:M59)</f>
        <v>29173</v>
      </c>
      <c r="N67" s="5">
        <f>+N66+SUM(N55:N59)</f>
        <v>18989</v>
      </c>
      <c r="O67" s="5">
        <f>+O66+SUM(O55:O59)</f>
        <v>25281</v>
      </c>
      <c r="P67" s="5">
        <f>+P66+SUM(P55:P59)</f>
        <v>25971</v>
      </c>
      <c r="Q67" s="5">
        <f>+Q66+SUM(Q55:Q59)</f>
        <v>45636</v>
      </c>
      <c r="R67" s="5">
        <f>+R66+SUM(R55:R59)</f>
        <v>17015</v>
      </c>
      <c r="AH67" s="5">
        <f>+SUM(J67:M67)</f>
        <v>71654</v>
      </c>
      <c r="AI67" s="5">
        <f>+AI66+SUM(AI55:AI59)</f>
        <v>115877</v>
      </c>
      <c r="AU67" s="2"/>
      <c r="AV67" s="2"/>
    </row>
    <row r="69" spans="1:48" s="5" customFormat="1" x14ac:dyDescent="0.2">
      <c r="A69" s="5" t="s">
        <v>67</v>
      </c>
      <c r="J69" s="5">
        <v>-14207</v>
      </c>
      <c r="K69" s="5">
        <v>-11455</v>
      </c>
      <c r="L69" s="5">
        <v>-12479</v>
      </c>
      <c r="M69" s="5">
        <v>-14588</v>
      </c>
      <c r="N69" s="5">
        <v>-14925</v>
      </c>
      <c r="O69" s="5">
        <v>-17620</v>
      </c>
      <c r="P69" s="5">
        <v>-22620</v>
      </c>
      <c r="Q69" s="5">
        <v>-27834</v>
      </c>
      <c r="R69" s="5">
        <v>-25019</v>
      </c>
      <c r="AH69" s="5">
        <f>+SUM(J69:M69)</f>
        <v>-52729</v>
      </c>
      <c r="AI69" s="5">
        <f>+SUM(N69:Q69)</f>
        <v>-82999</v>
      </c>
    </row>
    <row r="70" spans="1:48" x14ac:dyDescent="0.2">
      <c r="A70" s="24" t="s">
        <v>94</v>
      </c>
      <c r="N70" s="2">
        <v>990</v>
      </c>
      <c r="R70" s="2">
        <v>764</v>
      </c>
      <c r="AH70" s="18"/>
    </row>
    <row r="71" spans="1:48" x14ac:dyDescent="0.2">
      <c r="A71" s="24" t="s">
        <v>91</v>
      </c>
      <c r="N71" s="2">
        <v>-3354</v>
      </c>
      <c r="R71" s="2">
        <v>48</v>
      </c>
      <c r="AH71" s="18"/>
    </row>
    <row r="72" spans="1:48" x14ac:dyDescent="0.2">
      <c r="A72" s="24" t="s">
        <v>92</v>
      </c>
      <c r="N72" s="2">
        <f>1392-1965</f>
        <v>-573</v>
      </c>
      <c r="R72" s="2">
        <f>7737-13333</f>
        <v>-5596</v>
      </c>
      <c r="AH72" s="18"/>
    </row>
    <row r="73" spans="1:48" x14ac:dyDescent="0.2">
      <c r="A73" s="24" t="s">
        <v>93</v>
      </c>
      <c r="N73" s="2">
        <f>+SUM(N69:N72)</f>
        <v>-17862</v>
      </c>
      <c r="R73" s="2">
        <f>+SUM(R69:R72)</f>
        <v>-29803</v>
      </c>
      <c r="AH73" s="18"/>
    </row>
    <row r="74" spans="1:48" x14ac:dyDescent="0.2">
      <c r="AH74" s="18"/>
    </row>
    <row r="75" spans="1:48" x14ac:dyDescent="0.2">
      <c r="A75" s="24" t="s">
        <v>35</v>
      </c>
      <c r="N75" s="2">
        <f>338-404-330</f>
        <v>-396</v>
      </c>
      <c r="R75" s="2">
        <f>1815-2082+746</f>
        <v>479</v>
      </c>
      <c r="AH75" s="18"/>
    </row>
    <row r="76" spans="1:48" x14ac:dyDescent="0.2">
      <c r="A76" s="24" t="s">
        <v>47</v>
      </c>
      <c r="N76" s="2">
        <v>-770</v>
      </c>
      <c r="R76" s="2">
        <v>-410</v>
      </c>
      <c r="AH76" s="18"/>
    </row>
    <row r="77" spans="1:48" x14ac:dyDescent="0.2">
      <c r="A77" s="24" t="s">
        <v>95</v>
      </c>
      <c r="N77" s="2">
        <v>-90</v>
      </c>
      <c r="R77" s="2">
        <v>-116</v>
      </c>
      <c r="AH77" s="18"/>
    </row>
    <row r="78" spans="1:48" x14ac:dyDescent="0.2">
      <c r="A78" s="24" t="s">
        <v>96</v>
      </c>
      <c r="N78" s="2">
        <f>+SUM(N75:N77)</f>
        <v>-1256</v>
      </c>
      <c r="R78" s="2">
        <f>+SUM(R75:R77)</f>
        <v>-47</v>
      </c>
      <c r="AH78" s="18"/>
    </row>
    <row r="79" spans="1:48" x14ac:dyDescent="0.2">
      <c r="A79" s="24" t="s">
        <v>97</v>
      </c>
      <c r="N79" s="2">
        <v>-429</v>
      </c>
      <c r="R79" s="2">
        <v>416</v>
      </c>
      <c r="AH79" s="18"/>
    </row>
    <row r="80" spans="1:48" x14ac:dyDescent="0.2">
      <c r="A80" s="24" t="s">
        <v>98</v>
      </c>
      <c r="N80" s="2">
        <f>+N67+N73+N78+N79</f>
        <v>-558</v>
      </c>
      <c r="R80" s="2">
        <f>+R67+R73+R78+R79</f>
        <v>-12419</v>
      </c>
      <c r="AH80" s="18"/>
    </row>
    <row r="82" spans="1:35" s="5" customFormat="1" x14ac:dyDescent="0.2">
      <c r="A82" s="5" t="s">
        <v>68</v>
      </c>
      <c r="J82" s="5">
        <f t="shared" ref="J82:P82" si="60">+J67+J69</f>
        <v>-9419</v>
      </c>
      <c r="K82" s="5">
        <f t="shared" si="60"/>
        <v>5021</v>
      </c>
      <c r="L82" s="5">
        <f t="shared" si="60"/>
        <v>8738</v>
      </c>
      <c r="M82" s="5">
        <f t="shared" si="60"/>
        <v>14585</v>
      </c>
      <c r="N82" s="5">
        <f>+N67+N69</f>
        <v>4064</v>
      </c>
      <c r="O82" s="5">
        <f t="shared" si="60"/>
        <v>7661</v>
      </c>
      <c r="P82" s="5">
        <f t="shared" si="60"/>
        <v>3351</v>
      </c>
      <c r="Q82" s="5">
        <f>+Q67+Q69</f>
        <v>17802</v>
      </c>
      <c r="R82" s="5">
        <f>+R67+R69</f>
        <v>-8004</v>
      </c>
      <c r="AH82" s="5">
        <f>+AH67+AH69</f>
        <v>18925</v>
      </c>
      <c r="AI82" s="5">
        <f>+AI67+AI69</f>
        <v>32878</v>
      </c>
    </row>
    <row r="83" spans="1:35" x14ac:dyDescent="0.2">
      <c r="A83" s="2" t="s">
        <v>73</v>
      </c>
      <c r="J83" s="2">
        <f t="shared" ref="J83:P83" si="61">+J82-J57</f>
        <v>-14167</v>
      </c>
      <c r="K83" s="2">
        <f t="shared" si="61"/>
        <v>-2106</v>
      </c>
      <c r="L83" s="2">
        <f t="shared" si="61"/>
        <v>2909</v>
      </c>
      <c r="M83" s="2">
        <f t="shared" si="61"/>
        <v>8979</v>
      </c>
      <c r="N83" s="2">
        <f t="shared" si="61"/>
        <v>-897</v>
      </c>
      <c r="O83" s="2">
        <f t="shared" si="61"/>
        <v>939</v>
      </c>
      <c r="P83" s="2">
        <f t="shared" si="61"/>
        <v>-1982</v>
      </c>
      <c r="Q83" s="2">
        <f>+Q82-Q57</f>
        <v>12807</v>
      </c>
      <c r="R83" s="2">
        <f>+R82-R57</f>
        <v>-11693</v>
      </c>
    </row>
    <row r="85" spans="1:35" x14ac:dyDescent="0.2">
      <c r="A85" s="2" t="s">
        <v>69</v>
      </c>
      <c r="M85" s="2">
        <f t="shared" ref="M85:R86" si="62">+SUM(J82:M82)</f>
        <v>18925</v>
      </c>
      <c r="N85" s="2">
        <f t="shared" si="62"/>
        <v>32408</v>
      </c>
      <c r="O85" s="2">
        <f t="shared" si="62"/>
        <v>35048</v>
      </c>
      <c r="P85" s="2">
        <f t="shared" si="62"/>
        <v>29661</v>
      </c>
      <c r="Q85" s="2">
        <f>+SUM(N82:Q82)</f>
        <v>32878</v>
      </c>
      <c r="R85" s="2">
        <f>+SUM(O82:R82)</f>
        <v>20810</v>
      </c>
    </row>
    <row r="86" spans="1:35" x14ac:dyDescent="0.2">
      <c r="A86" s="2" t="s">
        <v>74</v>
      </c>
      <c r="M86" s="2">
        <f t="shared" si="62"/>
        <v>-4385</v>
      </c>
      <c r="N86" s="2">
        <f t="shared" si="62"/>
        <v>8885</v>
      </c>
      <c r="O86" s="2">
        <f t="shared" si="62"/>
        <v>11930</v>
      </c>
      <c r="P86" s="2">
        <f t="shared" si="62"/>
        <v>7039</v>
      </c>
      <c r="Q86" s="2">
        <f t="shared" si="62"/>
        <v>10867</v>
      </c>
      <c r="R86" s="2">
        <f t="shared" si="62"/>
        <v>71</v>
      </c>
    </row>
    <row r="88" spans="1:35" x14ac:dyDescent="0.2">
      <c r="A88" s="22" t="s">
        <v>89</v>
      </c>
      <c r="AI88" s="2">
        <f>+Main!L8/Model!AI82</f>
        <v>61.972772066427403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Fidel</cp:lastModifiedBy>
  <dcterms:created xsi:type="dcterms:W3CDTF">2024-11-09T20:49:34Z</dcterms:created>
  <dcterms:modified xsi:type="dcterms:W3CDTF">2025-05-02T16:34:41Z</dcterms:modified>
</cp:coreProperties>
</file>