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C49FD03B-AC76-4A80-A2AD-1A8A942E179D}" xr6:coauthVersionLast="47" xr6:coauthVersionMax="47" xr10:uidLastSave="{00000000-0000-0000-0000-000000000000}"/>
  <bookViews>
    <workbookView xWindow="14415" yWindow="60" windowWidth="14235" windowHeight="15495" xr2:uid="{7284C9B4-E135-4575-9DE3-E9A924656FB8}"/>
  </bookViews>
  <sheets>
    <sheet name="Information Technology &gt;=100B" sheetId="2" r:id="rId1"/>
    <sheet name="Consumer Electronics &amp; Software" sheetId="3" r:id="rId2"/>
    <sheet name="Systems Software" sheetId="4" r:id="rId3"/>
    <sheet name="Semiconductors" sheetId="5" r:id="rId4"/>
    <sheet name="Application Software" sheetId="6" r:id="rId5"/>
    <sheet name="Semiconductors Equipment" sheetId="7" r:id="rId6"/>
    <sheet name="Communications Equipment" sheetId="8" r:id="rId7"/>
    <sheet name="IT Consulting &amp; Other Services" sheetId="9" r:id="rId8"/>
    <sheet name="Data Processing &amp; Outsourced Se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4" l="1"/>
  <c r="O3" i="4"/>
  <c r="N3" i="4"/>
  <c r="J3" i="4"/>
  <c r="G3" i="4" s="1"/>
  <c r="I3" i="4" s="1"/>
  <c r="H3" i="4"/>
  <c r="V3" i="3"/>
  <c r="O3" i="3"/>
  <c r="N3" i="3"/>
  <c r="J3" i="3"/>
  <c r="G3" i="3" s="1"/>
  <c r="I3" i="3" s="1"/>
  <c r="H3" i="3"/>
  <c r="W3" i="4" l="1"/>
  <c r="S3" i="4"/>
  <c r="U3" i="4"/>
  <c r="T3" i="4"/>
  <c r="R3" i="4"/>
  <c r="W3" i="3"/>
  <c r="U3" i="3"/>
  <c r="T3" i="3"/>
  <c r="R3" i="3"/>
  <c r="S3" i="3"/>
  <c r="V4" i="2"/>
  <c r="O4" i="2"/>
  <c r="N4" i="2"/>
  <c r="J4" i="2"/>
  <c r="G4" i="2" s="1"/>
  <c r="I4" i="2" s="1"/>
  <c r="H4" i="2"/>
  <c r="V3" i="2"/>
  <c r="O3" i="2"/>
  <c r="N3" i="2"/>
  <c r="J3" i="2"/>
  <c r="H3" i="2"/>
  <c r="G3" i="2"/>
  <c r="I3" i="2" s="1"/>
  <c r="V4" i="9"/>
  <c r="Q4" i="9"/>
  <c r="P4" i="9"/>
  <c r="O4" i="9"/>
  <c r="N4" i="9"/>
  <c r="J4" i="9"/>
  <c r="G4" i="9" s="1"/>
  <c r="I4" i="9" s="1"/>
  <c r="H4" i="9"/>
  <c r="O3" i="9"/>
  <c r="N3" i="9"/>
  <c r="J3" i="9"/>
  <c r="G3" i="9" s="1"/>
  <c r="I3" i="9" s="1"/>
  <c r="H3" i="9"/>
  <c r="V15" i="2"/>
  <c r="Q15" i="2"/>
  <c r="P15" i="2"/>
  <c r="O15" i="2"/>
  <c r="N15" i="2"/>
  <c r="J15" i="2"/>
  <c r="H15" i="2"/>
  <c r="G15" i="2"/>
  <c r="I15" i="2" s="1"/>
  <c r="V18" i="2"/>
  <c r="O18" i="2"/>
  <c r="N18" i="2"/>
  <c r="J18" i="2"/>
  <c r="G18" i="2" s="1"/>
  <c r="I18" i="2" s="1"/>
  <c r="H18" i="2"/>
  <c r="V9" i="2"/>
  <c r="O9" i="2"/>
  <c r="N9" i="2"/>
  <c r="J9" i="2"/>
  <c r="H9" i="2"/>
  <c r="G9" i="2"/>
  <c r="I9" i="2" s="1"/>
  <c r="V22" i="2"/>
  <c r="O22" i="2"/>
  <c r="N22" i="2"/>
  <c r="J22" i="2"/>
  <c r="G22" i="2" s="1"/>
  <c r="I22" i="2" s="1"/>
  <c r="H22" i="2"/>
  <c r="V17" i="2"/>
  <c r="Q17" i="2"/>
  <c r="P17" i="2"/>
  <c r="O17" i="2"/>
  <c r="N17" i="2"/>
  <c r="J17" i="2"/>
  <c r="G17" i="2" s="1"/>
  <c r="I17" i="2" s="1"/>
  <c r="H17" i="2"/>
  <c r="O14" i="2"/>
  <c r="N14" i="2"/>
  <c r="J14" i="2"/>
  <c r="G14" i="2" s="1"/>
  <c r="H14" i="2"/>
  <c r="V13" i="2"/>
  <c r="O13" i="2"/>
  <c r="N13" i="2"/>
  <c r="J13" i="2"/>
  <c r="G13" i="2" s="1"/>
  <c r="H13" i="2"/>
  <c r="V12" i="2"/>
  <c r="O12" i="2"/>
  <c r="N12" i="2"/>
  <c r="J12" i="2"/>
  <c r="G12" i="2" s="1"/>
  <c r="H12" i="2"/>
  <c r="V10" i="2"/>
  <c r="O10" i="2"/>
  <c r="N10" i="2"/>
  <c r="J10" i="2"/>
  <c r="G10" i="2" s="1"/>
  <c r="H10" i="2"/>
  <c r="V8" i="2"/>
  <c r="O8" i="2"/>
  <c r="N8" i="2"/>
  <c r="J8" i="2"/>
  <c r="G8" i="2" s="1"/>
  <c r="I8" i="2" s="1"/>
  <c r="H8" i="2"/>
  <c r="W4" i="2" l="1"/>
  <c r="U4" i="2"/>
  <c r="T4" i="2"/>
  <c r="S4" i="2"/>
  <c r="R4" i="2"/>
  <c r="W3" i="2"/>
  <c r="U3" i="2"/>
  <c r="T3" i="2"/>
  <c r="S3" i="2"/>
  <c r="R3" i="2"/>
  <c r="W4" i="9"/>
  <c r="U4" i="9"/>
  <c r="T4" i="9"/>
  <c r="S4" i="9"/>
  <c r="R4" i="9"/>
  <c r="W3" i="9"/>
  <c r="U3" i="9"/>
  <c r="T3" i="9"/>
  <c r="S3" i="9"/>
  <c r="R3" i="9"/>
  <c r="U15" i="2"/>
  <c r="W15" i="2"/>
  <c r="T15" i="2"/>
  <c r="S15" i="2"/>
  <c r="R15" i="2"/>
  <c r="W18" i="2"/>
  <c r="U18" i="2"/>
  <c r="T18" i="2"/>
  <c r="S18" i="2"/>
  <c r="R18" i="2"/>
  <c r="W9" i="2"/>
  <c r="U9" i="2"/>
  <c r="R9" i="2"/>
  <c r="T9" i="2"/>
  <c r="S9" i="2"/>
  <c r="I14" i="2"/>
  <c r="W22" i="2"/>
  <c r="U22" i="2"/>
  <c r="T22" i="2"/>
  <c r="S22" i="2"/>
  <c r="R22" i="2"/>
  <c r="I12" i="2"/>
  <c r="W12" i="2" s="1"/>
  <c r="I10" i="2"/>
  <c r="U10" i="2" s="1"/>
  <c r="U17" i="2"/>
  <c r="T17" i="2"/>
  <c r="S17" i="2"/>
  <c r="W17" i="2"/>
  <c r="R17" i="2"/>
  <c r="W14" i="2"/>
  <c r="U14" i="2"/>
  <c r="T14" i="2"/>
  <c r="S14" i="2"/>
  <c r="R14" i="2"/>
  <c r="I13" i="2"/>
  <c r="W13" i="2"/>
  <c r="R13" i="2"/>
  <c r="U13" i="2"/>
  <c r="T13" i="2"/>
  <c r="S13" i="2"/>
  <c r="R12" i="2"/>
  <c r="S12" i="2"/>
  <c r="T10" i="2"/>
  <c r="S10" i="2"/>
  <c r="R10" i="2"/>
  <c r="W8" i="2"/>
  <c r="U8" i="2"/>
  <c r="T8" i="2"/>
  <c r="S8" i="2"/>
  <c r="R8" i="2"/>
  <c r="W10" i="2" l="1"/>
  <c r="T12" i="2"/>
  <c r="U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M6" authorId="0" shapeId="0" xr:uid="{450279F7-65CD-41F0-85F2-9ABEB45A0C40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Vmware Acquisition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M4" authorId="0" shapeId="0" xr:uid="{CE67AB78-DB1F-48A2-AA59-82D5E53E32F3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Vmware Acquisition</t>
        </r>
      </text>
    </comment>
  </commentList>
</comments>
</file>

<file path=xl/sharedStrings.xml><?xml version="1.0" encoding="utf-8"?>
<sst xmlns="http://schemas.openxmlformats.org/spreadsheetml/2006/main" count="501" uniqueCount="123">
  <si>
    <t>Main</t>
  </si>
  <si>
    <t>Ticker</t>
  </si>
  <si>
    <t>Name</t>
  </si>
  <si>
    <t>Sector</t>
  </si>
  <si>
    <t>Sub-sector</t>
  </si>
  <si>
    <t>Price</t>
  </si>
  <si>
    <t>MC</t>
  </si>
  <si>
    <t>Net cash</t>
  </si>
  <si>
    <t>EV</t>
  </si>
  <si>
    <t>S/O</t>
  </si>
  <si>
    <t>Updated</t>
  </si>
  <si>
    <t>Last</t>
  </si>
  <si>
    <t>TTM NI</t>
  </si>
  <si>
    <t>TTM EV/E</t>
  </si>
  <si>
    <t>TTM FCF</t>
  </si>
  <si>
    <t>EV/FCF</t>
  </si>
  <si>
    <t>ROTA</t>
  </si>
  <si>
    <t>Founded</t>
  </si>
  <si>
    <t>HQ</t>
  </si>
  <si>
    <t>Investor Relations</t>
  </si>
  <si>
    <t>AAPL</t>
  </si>
  <si>
    <t>Apple</t>
  </si>
  <si>
    <t>Information Technology</t>
  </si>
  <si>
    <t>Consumer Electronics &amp; Software</t>
  </si>
  <si>
    <t>Cupertino, California, United States</t>
  </si>
  <si>
    <t>https://investor.apple.com/investor-relations/default.aspx</t>
  </si>
  <si>
    <t>MSFT</t>
  </si>
  <si>
    <t>Microsoft</t>
  </si>
  <si>
    <t>Systems Software</t>
  </si>
  <si>
    <t>Redmond, Washington, United States</t>
  </si>
  <si>
    <t>https://www.microsoft.com/en-us/investor/default</t>
  </si>
  <si>
    <t>NVDA</t>
  </si>
  <si>
    <t>Nvidia</t>
  </si>
  <si>
    <t>Semiconductors</t>
  </si>
  <si>
    <t>FQ425</t>
  </si>
  <si>
    <t>Santa Clara, California, United States</t>
  </si>
  <si>
    <t>https://investor.nvidia.com/home/default.aspx</t>
  </si>
  <si>
    <t>AVGO</t>
  </si>
  <si>
    <t>Broadcom</t>
  </si>
  <si>
    <t>Q125</t>
  </si>
  <si>
    <t>San Jose, California, United States</t>
  </si>
  <si>
    <t>https://investors.broadcom.com/</t>
  </si>
  <si>
    <t>X</t>
  </si>
  <si>
    <t>TSM</t>
  </si>
  <si>
    <t>Taiwan Semiconductor Manufacturing</t>
  </si>
  <si>
    <t>Hsinchu, Taiwan</t>
  </si>
  <si>
    <t>https://investor.tsmc.com/english</t>
  </si>
  <si>
    <t>ORCL</t>
  </si>
  <si>
    <t>Oracle</t>
  </si>
  <si>
    <t>Application Software</t>
  </si>
  <si>
    <t>https://investor.oracle.com/home/default.aspx</t>
  </si>
  <si>
    <t>SAP</t>
  </si>
  <si>
    <t>SAP SE</t>
  </si>
  <si>
    <t>https://www.sap.com/investors/en.html</t>
  </si>
  <si>
    <t>ASML</t>
  </si>
  <si>
    <t>Semiconductors Equipment</t>
  </si>
  <si>
    <t>Velthoven, Netherlands</t>
  </si>
  <si>
    <t>https://www.asml.com/en/investors</t>
  </si>
  <si>
    <t>PLTR</t>
  </si>
  <si>
    <t>Palantir Technologies</t>
  </si>
  <si>
    <t>https://investors.palantir.com/</t>
  </si>
  <si>
    <t>CSCO</t>
  </si>
  <si>
    <t>Cisco Systems</t>
  </si>
  <si>
    <t>Communications Equipment</t>
  </si>
  <si>
    <t>https://investor.cisco.com/home/default.aspx</t>
  </si>
  <si>
    <t>IBM</t>
  </si>
  <si>
    <t>International Business Machines</t>
  </si>
  <si>
    <t>IT Consulting &amp; Other Services</t>
  </si>
  <si>
    <t>https://www.ibm.com/investor</t>
  </si>
  <si>
    <t>ACN</t>
  </si>
  <si>
    <t>Accenture</t>
  </si>
  <si>
    <t>https://investor.accenture.com/</t>
  </si>
  <si>
    <t>SATX</t>
  </si>
  <si>
    <t>Satixfy Communications</t>
  </si>
  <si>
    <t>https://ir.satixfy.com/overview/default.aspx</t>
  </si>
  <si>
    <t>NOW</t>
  </si>
  <si>
    <t>ServiceNow</t>
  </si>
  <si>
    <t>https://www.servicenow.com/company/investor-relations.html</t>
  </si>
  <si>
    <t>INTU</t>
  </si>
  <si>
    <t>Intuit</t>
  </si>
  <si>
    <t>https://investors.intuit.com/</t>
  </si>
  <si>
    <t>AMD</t>
  </si>
  <si>
    <t>Advanced Micro Devices</t>
  </si>
  <si>
    <t>https://ir.amd.com/</t>
  </si>
  <si>
    <t>QCOM</t>
  </si>
  <si>
    <t>Qualcomm</t>
  </si>
  <si>
    <t>https://investor.qualcomm.com/overview/default.aspx</t>
  </si>
  <si>
    <t>ADBE</t>
  </si>
  <si>
    <t>Adobe</t>
  </si>
  <si>
    <t>https://www.adobe.com/investor-relations.html</t>
  </si>
  <si>
    <t>TXN</t>
  </si>
  <si>
    <t>Texas Instruments</t>
  </si>
  <si>
    <t>https://investor.ti.com/</t>
  </si>
  <si>
    <t>ADP</t>
  </si>
  <si>
    <t>Automatic Data Processing</t>
  </si>
  <si>
    <t>Data Processing &amp; Outsourced Services</t>
  </si>
  <si>
    <t>https://investors.adp.com/overview/default.aspx</t>
  </si>
  <si>
    <t>FI</t>
  </si>
  <si>
    <t>Fiserv</t>
  </si>
  <si>
    <t>https://investors.fiserv.com/</t>
  </si>
  <si>
    <t>AMAT</t>
  </si>
  <si>
    <t>Applied Materials</t>
  </si>
  <si>
    <t>Semiconductor Equipment</t>
  </si>
  <si>
    <t>https://ir.appliedmaterials.com/</t>
  </si>
  <si>
    <t>FQ325</t>
  </si>
  <si>
    <t>Austin, Texas, United States</t>
  </si>
  <si>
    <t>Models</t>
  </si>
  <si>
    <t>SEC Fillings</t>
  </si>
  <si>
    <t>Q424</t>
  </si>
  <si>
    <t>Walldorf, Germany</t>
  </si>
  <si>
    <t>Denver, Colorado, United States</t>
  </si>
  <si>
    <t>FQ225</t>
  </si>
  <si>
    <t>Growth %</t>
  </si>
  <si>
    <t>Armonk, New York, Unnited States</t>
  </si>
  <si>
    <t>Dallas, Texas, United States</t>
  </si>
  <si>
    <t>CRM</t>
  </si>
  <si>
    <t>Salesforce</t>
  </si>
  <si>
    <t>Q425</t>
  </si>
  <si>
    <t>San Francisco, California, United States</t>
  </si>
  <si>
    <t>https://investor.salesforce.com/overview/default.aspx</t>
  </si>
  <si>
    <t>Mount View, California, United States</t>
  </si>
  <si>
    <t>Dublin, Ireland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</si>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</sst>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3]d/mmm;@"/>
    <numFmt numFmtId="165" formatCode="d/mm/yy;@"/>
    <numFmt numFmtId="166" formatCode="0\x"/>
  </numFmts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3" fillId="0" borderId="0" xfId="0" applyFont="1" applyAlignment="1">
      <alignment horizontal="left"/>
    </xf>
    <xf numFmtId="0" fontId="3" fillId="0" borderId="0" xfId="0" applyFont="1"/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1" applyFill="1"/>
    <xf numFmtId="0" fontId="1" fillId="0" borderId="0" xfId="1" applyAlignment="1">
      <alignment horizontal="left"/>
    </xf>
    <xf numFmtId="164" fontId="0" fillId="2" borderId="0" xfId="0" applyNumberFormat="1" applyFill="1" applyAlignment="1">
      <alignment horizontal="center"/>
    </xf>
    <xf numFmtId="164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ORCL.xlsx" TargetMode="External"/><Relationship Id="rId1" Type="http://schemas.openxmlformats.org/officeDocument/2006/relationships/externalLinkPath" Target="/Users/denni/Desktop/CompanyResearchModels/ORC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TXN.xlsx" TargetMode="External"/><Relationship Id="rId1" Type="http://schemas.openxmlformats.org/officeDocument/2006/relationships/externalLinkPath" Target="TXN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AAPL.xlsx" TargetMode="External"/><Relationship Id="rId1" Type="http://schemas.openxmlformats.org/officeDocument/2006/relationships/externalLinkPath" Target="AAP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Hardware\Tech\AAPL.xlsx" TargetMode="External"/><Relationship Id="rId1" Type="http://schemas.openxmlformats.org/officeDocument/2006/relationships/externalLinkPath" Target="/Users/denni/Desktop/CompanyResearchModels/Hardware/Tech/AAP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MSFT.xlsx" TargetMode="External"/><Relationship Id="rId1" Type="http://schemas.openxmlformats.org/officeDocument/2006/relationships/externalLinkPath" Target="MSFT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Software\Internet\MSFT.xlsx" TargetMode="External"/><Relationship Id="rId1" Type="http://schemas.openxmlformats.org/officeDocument/2006/relationships/externalLinkPath" Target="/Users/denni/Desktop/CompanyResearchModels/Software/Internet/MSF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CRM.xlsx" TargetMode="External"/><Relationship Id="rId1" Type="http://schemas.openxmlformats.org/officeDocument/2006/relationships/externalLinkPath" Target="CR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SAP.xlsx" TargetMode="External"/><Relationship Id="rId1" Type="http://schemas.openxmlformats.org/officeDocument/2006/relationships/externalLinkPath" Target="SAP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PLTR.xlsx" TargetMode="External"/><Relationship Id="rId1" Type="http://schemas.openxmlformats.org/officeDocument/2006/relationships/externalLinkPath" Target="PLTR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CSCO.xlsx" TargetMode="External"/><Relationship Id="rId1" Type="http://schemas.openxmlformats.org/officeDocument/2006/relationships/externalLinkPath" Target="CSC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IBM.xlsx" TargetMode="External"/><Relationship Id="rId1" Type="http://schemas.openxmlformats.org/officeDocument/2006/relationships/externalLinkPath" Target="IB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ACN.xlsx" TargetMode="External"/><Relationship Id="rId1" Type="http://schemas.openxmlformats.org/officeDocument/2006/relationships/externalLinkPath" Target="AC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NOW.xlsx" TargetMode="External"/><Relationship Id="rId1" Type="http://schemas.openxmlformats.org/officeDocument/2006/relationships/externalLinkPath" Target="NO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INTU.xlsx" TargetMode="External"/><Relationship Id="rId1" Type="http://schemas.openxmlformats.org/officeDocument/2006/relationships/externalLinkPath" Target="INT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2804.2339999999999</v>
          </cell>
        </row>
        <row r="6">
          <cell r="L6">
            <v>17823</v>
          </cell>
        </row>
        <row r="7">
          <cell r="L7">
            <v>96276</v>
          </cell>
        </row>
      </sheetData>
      <sheetData sheetId="1">
        <row r="19">
          <cell r="M19">
            <v>4106</v>
          </cell>
          <cell r="N19">
            <v>3619</v>
          </cell>
          <cell r="O19">
            <v>4821</v>
          </cell>
          <cell r="P19">
            <v>3593</v>
          </cell>
          <cell r="AC19">
            <v>14293</v>
          </cell>
        </row>
        <row r="55">
          <cell r="M55">
            <v>3283</v>
          </cell>
          <cell r="N55">
            <v>5124</v>
          </cell>
          <cell r="O55">
            <v>-2666</v>
          </cell>
          <cell r="P55">
            <v>71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eographic"/>
    </sheetNames>
    <sheetDataSet>
      <sheetData sheetId="0">
        <row r="4">
          <cell r="L4">
            <v>910</v>
          </cell>
        </row>
        <row r="6">
          <cell r="L6">
            <v>5005</v>
          </cell>
        </row>
        <row r="7">
          <cell r="L7">
            <v>12848</v>
          </cell>
        </row>
      </sheetData>
      <sheetData sheetId="1">
        <row r="16">
          <cell r="P16">
            <v>997</v>
          </cell>
          <cell r="Q16">
            <v>1231</v>
          </cell>
          <cell r="R16">
            <v>1115</v>
          </cell>
          <cell r="S16">
            <v>1099</v>
          </cell>
          <cell r="AG16">
            <v>4179</v>
          </cell>
        </row>
        <row r="80">
          <cell r="P80">
            <v>507</v>
          </cell>
          <cell r="Q80">
            <v>416</v>
          </cell>
          <cell r="R80">
            <v>806</v>
          </cell>
          <cell r="S80">
            <v>-274</v>
          </cell>
        </row>
      </sheetData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I4">
            <v>15056.133</v>
          </cell>
        </row>
        <row r="6">
          <cell r="I6">
            <v>132922</v>
          </cell>
        </row>
        <row r="7">
          <cell r="I7">
            <v>98186</v>
          </cell>
        </row>
      </sheetData>
      <sheetData sheetId="1">
        <row r="41">
          <cell r="M41">
            <v>21448</v>
          </cell>
          <cell r="N41">
            <v>14736</v>
          </cell>
          <cell r="O41">
            <v>36330</v>
          </cell>
          <cell r="P41">
            <v>24780</v>
          </cell>
        </row>
        <row r="101">
          <cell r="M101">
            <v>26707</v>
          </cell>
          <cell r="N101">
            <v>23903</v>
          </cell>
          <cell r="O101">
            <v>26995</v>
          </cell>
          <cell r="P101">
            <v>20881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 refreshError="1"/>
      <sheetData sheetId="1" refreshError="1">
        <row r="44">
          <cell r="L44">
            <v>23636</v>
          </cell>
          <cell r="AB44">
            <v>93736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7461</v>
          </cell>
        </row>
        <row r="5">
          <cell r="K5">
            <v>95653</v>
          </cell>
        </row>
        <row r="6">
          <cell r="K6">
            <v>42881</v>
          </cell>
        </row>
      </sheetData>
      <sheetData sheetId="1">
        <row r="27">
          <cell r="N27">
            <v>22036</v>
          </cell>
          <cell r="O27">
            <v>24667</v>
          </cell>
          <cell r="P27">
            <v>24108</v>
          </cell>
          <cell r="Q27">
            <v>23838</v>
          </cell>
        </row>
        <row r="104">
          <cell r="Q104">
            <v>69365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 refreshError="1"/>
      <sheetData sheetId="1" refreshError="1">
        <row r="27">
          <cell r="M27">
            <v>21939</v>
          </cell>
          <cell r="AD27">
            <v>88136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974</v>
          </cell>
        </row>
        <row r="5">
          <cell r="L5">
            <v>18884</v>
          </cell>
        </row>
        <row r="6">
          <cell r="L6">
            <v>8433</v>
          </cell>
        </row>
      </sheetData>
      <sheetData sheetId="1">
        <row r="16">
          <cell r="S16">
            <v>1504</v>
          </cell>
          <cell r="T16">
            <v>1565</v>
          </cell>
          <cell r="U16">
            <v>1800</v>
          </cell>
          <cell r="V16">
            <v>1910</v>
          </cell>
          <cell r="AK16">
            <v>6779</v>
          </cell>
        </row>
        <row r="29">
          <cell r="S29">
            <v>6084</v>
          </cell>
          <cell r="T29">
            <v>755</v>
          </cell>
          <cell r="U29">
            <v>1779</v>
          </cell>
          <cell r="V29">
            <v>3816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1167</v>
          </cell>
        </row>
        <row r="6">
          <cell r="L6">
            <v>8098</v>
          </cell>
        </row>
        <row r="7">
          <cell r="L7">
            <v>10107</v>
          </cell>
        </row>
      </sheetData>
      <sheetData sheetId="1">
        <row r="18">
          <cell r="N18">
            <v>1571</v>
          </cell>
          <cell r="O18">
            <v>1560</v>
          </cell>
          <cell r="P18">
            <v>2259</v>
          </cell>
          <cell r="Q18">
            <v>1288</v>
          </cell>
        </row>
        <row r="54">
          <cell r="N54">
            <v>2597</v>
          </cell>
          <cell r="O54">
            <v>1390</v>
          </cell>
          <cell r="P54">
            <v>1337</v>
          </cell>
          <cell r="Q54">
            <v>-779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2248.9508259999998</v>
          </cell>
        </row>
        <row r="6">
          <cell r="L6">
            <v>5229.9870000000001</v>
          </cell>
        </row>
        <row r="7">
          <cell r="L7">
            <v>0</v>
          </cell>
        </row>
      </sheetData>
      <sheetData sheetId="1">
        <row r="14">
          <cell r="N14">
            <v>119.57799999999997</v>
          </cell>
          <cell r="O14">
            <v>146.74299999999997</v>
          </cell>
          <cell r="P14">
            <v>157.45099999999999</v>
          </cell>
          <cell r="Q14">
            <v>62.168000000000355</v>
          </cell>
          <cell r="AC14">
            <v>485.93999999999983</v>
          </cell>
        </row>
        <row r="48">
          <cell r="N48">
            <v>126.91500000000001</v>
          </cell>
          <cell r="O48">
            <v>268.22300000000001</v>
          </cell>
          <cell r="P48">
            <v>684.01</v>
          </cell>
          <cell r="Q48">
            <v>62.08299999999997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3978.2924320000002</v>
          </cell>
        </row>
        <row r="6">
          <cell r="L6">
            <v>16853</v>
          </cell>
        </row>
        <row r="7">
          <cell r="L7">
            <v>31038</v>
          </cell>
        </row>
      </sheetData>
      <sheetData sheetId="1">
        <row r="20">
          <cell r="L20">
            <v>2735</v>
          </cell>
          <cell r="M20">
            <v>2616</v>
          </cell>
          <cell r="N20">
            <v>3600</v>
          </cell>
          <cell r="O20">
            <v>2763</v>
          </cell>
          <cell r="AC20">
            <v>12113</v>
          </cell>
        </row>
        <row r="81">
          <cell r="L81">
            <v>3803</v>
          </cell>
          <cell r="M81">
            <v>3532</v>
          </cell>
          <cell r="N81">
            <v>3444</v>
          </cell>
          <cell r="O81">
            <v>2031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945.4</v>
          </cell>
        </row>
        <row r="6">
          <cell r="L6">
            <v>19447</v>
          </cell>
        </row>
        <row r="7">
          <cell r="L7">
            <v>63284</v>
          </cell>
        </row>
      </sheetData>
      <sheetData sheetId="1">
        <row r="19">
          <cell r="P19">
            <v>1356</v>
          </cell>
          <cell r="Q19">
            <v>719</v>
          </cell>
          <cell r="R19">
            <v>3774</v>
          </cell>
          <cell r="S19">
            <v>637</v>
          </cell>
          <cell r="AF19">
            <v>6891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678.35141999999996</v>
          </cell>
        </row>
        <row r="5">
          <cell r="L5">
            <v>8937.2199999999993</v>
          </cell>
        </row>
        <row r="6">
          <cell r="L6">
            <v>5157.29</v>
          </cell>
        </row>
      </sheetData>
      <sheetData sheetId="1">
        <row r="27">
          <cell r="K27">
            <v>2077.6190000000015</v>
          </cell>
          <cell r="L27">
            <v>1874.2020000000016</v>
          </cell>
          <cell r="M27">
            <v>2355.4069999999974</v>
          </cell>
          <cell r="N27">
            <v>1789.824999999998</v>
          </cell>
          <cell r="AB27">
            <v>7967.4480000000112</v>
          </cell>
          <cell r="AC27">
            <v>8428.2678607000216</v>
          </cell>
          <cell r="AD27">
            <v>9438.3046726358752</v>
          </cell>
        </row>
        <row r="87">
          <cell r="K87">
            <v>3017.8849999999998</v>
          </cell>
          <cell r="L87">
            <v>3175.7950000000001</v>
          </cell>
          <cell r="M87">
            <v>870.28100000000029</v>
          </cell>
          <cell r="N87">
            <v>2682.5880000000002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209</v>
          </cell>
        </row>
        <row r="5">
          <cell r="L5">
            <v>10932</v>
          </cell>
        </row>
        <row r="6">
          <cell r="L6">
            <v>1490</v>
          </cell>
        </row>
      </sheetData>
      <sheetData sheetId="1">
        <row r="17">
          <cell r="P17">
            <v>272</v>
          </cell>
          <cell r="Q17">
            <v>442</v>
          </cell>
          <cell r="R17">
            <v>401</v>
          </cell>
          <cell r="S17">
            <v>471</v>
          </cell>
          <cell r="AD17">
            <v>1470</v>
          </cell>
          <cell r="AE17">
            <v>1269.6639999999995</v>
          </cell>
          <cell r="AF17">
            <v>1523.7175359999997</v>
          </cell>
        </row>
        <row r="80">
          <cell r="P80">
            <v>358</v>
          </cell>
          <cell r="Q80">
            <v>469</v>
          </cell>
          <cell r="R80">
            <v>1382</v>
          </cell>
          <cell r="S80">
            <v>1472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279.56200000000001</v>
          </cell>
        </row>
        <row r="6">
          <cell r="L6">
            <v>3923</v>
          </cell>
        </row>
        <row r="7">
          <cell r="L7">
            <v>6260</v>
          </cell>
        </row>
      </sheetData>
      <sheetData sheetId="1">
        <row r="16">
          <cell r="L16">
            <v>2545</v>
          </cell>
          <cell r="M16">
            <v>362</v>
          </cell>
          <cell r="N16">
            <v>363</v>
          </cell>
          <cell r="O16">
            <v>632</v>
          </cell>
          <cell r="AB16">
            <v>3815</v>
          </cell>
        </row>
        <row r="94">
          <cell r="L94">
            <v>3890</v>
          </cell>
          <cell r="M94">
            <v>375</v>
          </cell>
          <cell r="N94">
            <v>329</v>
          </cell>
          <cell r="O94">
            <v>1038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r.amd.com/" TargetMode="External"/><Relationship Id="rId18" Type="http://schemas.openxmlformats.org/officeDocument/2006/relationships/hyperlink" Target="https://investors.adp.com/overview/default.aspx" TargetMode="External"/><Relationship Id="rId26" Type="http://schemas.openxmlformats.org/officeDocument/2006/relationships/hyperlink" Target="https://www.sap.com/investors/en.html" TargetMode="External"/><Relationship Id="rId39" Type="http://schemas.openxmlformats.org/officeDocument/2006/relationships/hyperlink" Target="NOW.xlsx" TargetMode="External"/><Relationship Id="rId21" Type="http://schemas.openxmlformats.org/officeDocument/2006/relationships/hyperlink" Target="Information%20Technology\AMAT.xlsx" TargetMode="External"/><Relationship Id="rId34" Type="http://schemas.openxmlformats.org/officeDocument/2006/relationships/hyperlink" Target="https://investor.cisco.com/home/default.aspx" TargetMode="External"/><Relationship Id="rId42" Type="http://schemas.openxmlformats.org/officeDocument/2006/relationships/hyperlink" Target="https://investor.ti.com/" TargetMode="External"/><Relationship Id="rId47" Type="http://schemas.openxmlformats.org/officeDocument/2006/relationships/hyperlink" Target="ModelsResearchMetrics\Models\CRM.xlsx" TargetMode="External"/><Relationship Id="rId50" Type="http://schemas.openxmlformats.org/officeDocument/2006/relationships/hyperlink" Target="https://investors.intuit.com/" TargetMode="External"/><Relationship Id="rId55" Type="http://schemas.openxmlformats.org/officeDocument/2006/relationships/hyperlink" Target="ACN.xlsx" TargetMode="External"/><Relationship Id="rId63" Type="http://schemas.openxmlformats.org/officeDocument/2006/relationships/comments" Target="../comments1.xml"/><Relationship Id="rId7" Type="http://schemas.openxmlformats.org/officeDocument/2006/relationships/hyperlink" Target="Hardware\Semiconductors\TSM.xlsx" TargetMode="External"/><Relationship Id="rId2" Type="http://schemas.openxmlformats.org/officeDocument/2006/relationships/hyperlink" Target="https://www.sec.gov/edgar/browse/?CIK=1045810&amp;owner=exclude" TargetMode="External"/><Relationship Id="rId16" Type="http://schemas.openxmlformats.org/officeDocument/2006/relationships/hyperlink" Target="Hardware\Tech\ADBE.xlsx" TargetMode="External"/><Relationship Id="rId29" Type="http://schemas.openxmlformats.org/officeDocument/2006/relationships/hyperlink" Target="https://www.sec.gov/edgar/browse/?CIK=937966&amp;owner=exclude" TargetMode="External"/><Relationship Id="rId11" Type="http://schemas.openxmlformats.org/officeDocument/2006/relationships/hyperlink" Target="https://ir.satixfy.com/overview/default.aspx" TargetMode="External"/><Relationship Id="rId24" Type="http://schemas.openxmlformats.org/officeDocument/2006/relationships/hyperlink" Target="https://investor.oracle.com/home/default.aspx" TargetMode="External"/><Relationship Id="rId32" Type="http://schemas.openxmlformats.org/officeDocument/2006/relationships/hyperlink" Target="PLTR.xlsx" TargetMode="External"/><Relationship Id="rId37" Type="http://schemas.openxmlformats.org/officeDocument/2006/relationships/hyperlink" Target="https://www.sec.gov/edgar/browse/?CIK=51143&amp;owner=exclude" TargetMode="External"/><Relationship Id="rId40" Type="http://schemas.openxmlformats.org/officeDocument/2006/relationships/hyperlink" Target="https://www.servicenow.com/company/investor-relations.html" TargetMode="External"/><Relationship Id="rId45" Type="http://schemas.openxmlformats.org/officeDocument/2006/relationships/hyperlink" Target="https://www.sec.gov/edgar/browse/?CIK=1373715&amp;owner=exclude" TargetMode="External"/><Relationship Id="rId53" Type="http://schemas.openxmlformats.org/officeDocument/2006/relationships/hyperlink" Target="https://www.sec.gov/edgar/browse/?CIK=1467373&amp;owner=exclude" TargetMode="External"/><Relationship Id="rId58" Type="http://schemas.openxmlformats.org/officeDocument/2006/relationships/hyperlink" Target="https://investor.apple.com/investor-relations/default.aspx" TargetMode="External"/><Relationship Id="rId5" Type="http://schemas.openxmlformats.org/officeDocument/2006/relationships/hyperlink" Target="https://www.sec.gov/edgar/browse/?CIK=1730168&amp;owner=exclude" TargetMode="External"/><Relationship Id="rId61" Type="http://schemas.openxmlformats.org/officeDocument/2006/relationships/hyperlink" Target="https://www.microsoft.com/en-us/investor/default" TargetMode="External"/><Relationship Id="rId19" Type="http://schemas.openxmlformats.org/officeDocument/2006/relationships/hyperlink" Target="https://investors.fiserv.com/" TargetMode="External"/><Relationship Id="rId14" Type="http://schemas.openxmlformats.org/officeDocument/2006/relationships/hyperlink" Target="QCOM.xlsx" TargetMode="External"/><Relationship Id="rId22" Type="http://schemas.openxmlformats.org/officeDocument/2006/relationships/hyperlink" Target="https://www.sec.gov/edgar/browse/?CIK=6951&amp;owner=exclude" TargetMode="External"/><Relationship Id="rId27" Type="http://schemas.openxmlformats.org/officeDocument/2006/relationships/hyperlink" Target="https://www.sec.gov/edgar/browse/?CIK=0001000184" TargetMode="External"/><Relationship Id="rId30" Type="http://schemas.openxmlformats.org/officeDocument/2006/relationships/hyperlink" Target="https://www.sec.gov/edgar/browse/?CIK=1321655&amp;owner=exclude" TargetMode="External"/><Relationship Id="rId35" Type="http://schemas.openxmlformats.org/officeDocument/2006/relationships/hyperlink" Target="CSCO.xlsx" TargetMode="External"/><Relationship Id="rId43" Type="http://schemas.openxmlformats.org/officeDocument/2006/relationships/hyperlink" Target="https://www.sec.gov/edgar/browse/?CIK=97476&amp;owner=exclude" TargetMode="External"/><Relationship Id="rId48" Type="http://schemas.openxmlformats.org/officeDocument/2006/relationships/hyperlink" Target="https://www.sec.gov/edgar/browse/?CIK=1108524&amp;owner=exclude" TargetMode="External"/><Relationship Id="rId56" Type="http://schemas.openxmlformats.org/officeDocument/2006/relationships/hyperlink" Target="ModelsResearchMetrics\Models\AAPL.xlsx" TargetMode="External"/><Relationship Id="rId8" Type="http://schemas.openxmlformats.org/officeDocument/2006/relationships/hyperlink" Target="https://investor.tsmc.com/english" TargetMode="External"/><Relationship Id="rId51" Type="http://schemas.openxmlformats.org/officeDocument/2006/relationships/hyperlink" Target="https://www.sec.gov/edgar/browse/?CIK=896878&amp;owner=exclude" TargetMode="External"/><Relationship Id="rId3" Type="http://schemas.openxmlformats.org/officeDocument/2006/relationships/hyperlink" Target="https://investor.nvidia.com/home/default.aspx" TargetMode="External"/><Relationship Id="rId12" Type="http://schemas.openxmlformats.org/officeDocument/2006/relationships/hyperlink" Target="AMD.xlsx" TargetMode="External"/><Relationship Id="rId17" Type="http://schemas.openxmlformats.org/officeDocument/2006/relationships/hyperlink" Target="https://www.adobe.com/investor-relations.html" TargetMode="External"/><Relationship Id="rId25" Type="http://schemas.openxmlformats.org/officeDocument/2006/relationships/hyperlink" Target="ORCL.xlsx" TargetMode="External"/><Relationship Id="rId33" Type="http://schemas.openxmlformats.org/officeDocument/2006/relationships/hyperlink" Target="https://www.sec.gov/edgar/browse/?CIK=858877&amp;owner=exclude" TargetMode="External"/><Relationship Id="rId38" Type="http://schemas.openxmlformats.org/officeDocument/2006/relationships/hyperlink" Target="https://www.ibm.com/investor" TargetMode="External"/><Relationship Id="rId46" Type="http://schemas.openxmlformats.org/officeDocument/2006/relationships/hyperlink" Target="https://www.sec.gov/edgar/browse/?CIK=1046179&amp;owner=exclude" TargetMode="External"/><Relationship Id="rId59" Type="http://schemas.openxmlformats.org/officeDocument/2006/relationships/hyperlink" Target="ModelsResearchMetrics\Models\MSFT.xlsx" TargetMode="External"/><Relationship Id="rId20" Type="http://schemas.openxmlformats.org/officeDocument/2006/relationships/hyperlink" Target="https://ir.appliedmaterials.com/" TargetMode="External"/><Relationship Id="rId41" Type="http://schemas.openxmlformats.org/officeDocument/2006/relationships/hyperlink" Target="TXN.xlsx" TargetMode="External"/><Relationship Id="rId54" Type="http://schemas.openxmlformats.org/officeDocument/2006/relationships/hyperlink" Target="https://investor.accenture.com/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Hardware\Semiconductors\NVDA.xlsx" TargetMode="External"/><Relationship Id="rId6" Type="http://schemas.openxmlformats.org/officeDocument/2006/relationships/hyperlink" Target="https://investors.broadcom.com/" TargetMode="External"/><Relationship Id="rId15" Type="http://schemas.openxmlformats.org/officeDocument/2006/relationships/hyperlink" Target="https://investor.qualcomm.com/overview/default.aspx" TargetMode="External"/><Relationship Id="rId23" Type="http://schemas.openxmlformats.org/officeDocument/2006/relationships/hyperlink" Target="https://www.sec.gov/edgar/browse/?CIK=1341439&amp;owner=exclude" TargetMode="External"/><Relationship Id="rId28" Type="http://schemas.openxmlformats.org/officeDocument/2006/relationships/hyperlink" Target="CompanyResearchModels\Main\Information%20Technology\SAP.xlsx" TargetMode="External"/><Relationship Id="rId36" Type="http://schemas.openxmlformats.org/officeDocument/2006/relationships/hyperlink" Target="IBM.xlsx" TargetMode="External"/><Relationship Id="rId49" Type="http://schemas.openxmlformats.org/officeDocument/2006/relationships/hyperlink" Target="https://investor.salesforce.com/overview/default.aspx" TargetMode="External"/><Relationship Id="rId57" Type="http://schemas.openxmlformats.org/officeDocument/2006/relationships/hyperlink" Target="https://www.sec.gov/edgar/browse/?CIK=320193&amp;owner=exclude" TargetMode="External"/><Relationship Id="rId10" Type="http://schemas.openxmlformats.org/officeDocument/2006/relationships/hyperlink" Target="https://www.asml.com/en/investors" TargetMode="External"/><Relationship Id="rId31" Type="http://schemas.openxmlformats.org/officeDocument/2006/relationships/hyperlink" Target="https://investors.palantir.com/" TargetMode="External"/><Relationship Id="rId44" Type="http://schemas.openxmlformats.org/officeDocument/2006/relationships/hyperlink" Target="https://www.sec.gov/edgar/browse/?CIK=2488&amp;owner=exclude" TargetMode="External"/><Relationship Id="rId52" Type="http://schemas.openxmlformats.org/officeDocument/2006/relationships/hyperlink" Target="INTU.xlsx" TargetMode="External"/><Relationship Id="rId60" Type="http://schemas.openxmlformats.org/officeDocument/2006/relationships/hyperlink" Target="https://www.sec.gov/edgar/browse/?CIK=789019&amp;owner=exclude" TargetMode="External"/><Relationship Id="rId4" Type="http://schemas.openxmlformats.org/officeDocument/2006/relationships/hyperlink" Target="Hardware\Semiconductors\AVGO.xlsx" TargetMode="External"/><Relationship Id="rId9" Type="http://schemas.openxmlformats.org/officeDocument/2006/relationships/hyperlink" Target="Hardware\Semiconductors\ASML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.apple.com/investor-relations/default.aspx" TargetMode="External"/><Relationship Id="rId2" Type="http://schemas.openxmlformats.org/officeDocument/2006/relationships/hyperlink" Target="https://www.sec.gov/edgar/browse/?CIK=320193&amp;owner=exclude" TargetMode="External"/><Relationship Id="rId1" Type="http://schemas.openxmlformats.org/officeDocument/2006/relationships/hyperlink" Target="ModelsResearchMetrics\Models\AAPL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soft.com/en-us/investor/default" TargetMode="External"/><Relationship Id="rId2" Type="http://schemas.openxmlformats.org/officeDocument/2006/relationships/hyperlink" Target="https://www.sec.gov/edgar/browse/?CIK=789019&amp;owner=exclude" TargetMode="External"/><Relationship Id="rId1" Type="http://schemas.openxmlformats.org/officeDocument/2006/relationships/hyperlink" Target="ModelsResearchMetrics\Models\MSFT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tsmc.com/english" TargetMode="External"/><Relationship Id="rId13" Type="http://schemas.openxmlformats.org/officeDocument/2006/relationships/hyperlink" Target="QCOM.xlsx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s://investor.nvidia.com/home/default.aspx" TargetMode="External"/><Relationship Id="rId7" Type="http://schemas.openxmlformats.org/officeDocument/2006/relationships/hyperlink" Target="Hardware\Semiconductors\TSM.xlsx" TargetMode="External"/><Relationship Id="rId12" Type="http://schemas.openxmlformats.org/officeDocument/2006/relationships/hyperlink" Target="https://www.sec.gov/edgar/browse/?CIK=2488&amp;owner=exclude" TargetMode="External"/><Relationship Id="rId17" Type="http://schemas.openxmlformats.org/officeDocument/2006/relationships/hyperlink" Target="https://www.sec.gov/edgar/browse/?CIK=97476&amp;owner=exclude" TargetMode="External"/><Relationship Id="rId2" Type="http://schemas.openxmlformats.org/officeDocument/2006/relationships/hyperlink" Target="https://www.sec.gov/edgar/browse/?CIK=1045810&amp;owner=exclude" TargetMode="External"/><Relationship Id="rId16" Type="http://schemas.openxmlformats.org/officeDocument/2006/relationships/hyperlink" Target="https://investor.ti.com/" TargetMode="External"/><Relationship Id="rId1" Type="http://schemas.openxmlformats.org/officeDocument/2006/relationships/hyperlink" Target="Hardware\Semiconductors\NVDA.xlsx" TargetMode="External"/><Relationship Id="rId6" Type="http://schemas.openxmlformats.org/officeDocument/2006/relationships/hyperlink" Target="https://investors.broadcom.com/" TargetMode="External"/><Relationship Id="rId11" Type="http://schemas.openxmlformats.org/officeDocument/2006/relationships/hyperlink" Target="https://ir.amd.com/" TargetMode="External"/><Relationship Id="rId5" Type="http://schemas.openxmlformats.org/officeDocument/2006/relationships/hyperlink" Target="https://www.sec.gov/edgar/browse/?CIK=1730168&amp;owner=exclude" TargetMode="External"/><Relationship Id="rId15" Type="http://schemas.openxmlformats.org/officeDocument/2006/relationships/hyperlink" Target="TXN.xlsx" TargetMode="External"/><Relationship Id="rId10" Type="http://schemas.openxmlformats.org/officeDocument/2006/relationships/hyperlink" Target="AMD.xlsx" TargetMode="External"/><Relationship Id="rId19" Type="http://schemas.openxmlformats.org/officeDocument/2006/relationships/comments" Target="../comments2.xml"/><Relationship Id="rId4" Type="http://schemas.openxmlformats.org/officeDocument/2006/relationships/hyperlink" Target="Hardware\Semiconductors\AVGO.xlsx" TargetMode="External"/><Relationship Id="rId9" Type="http://schemas.openxmlformats.org/officeDocument/2006/relationships/hyperlink" Target="https://www.sec.gov/edgar/browse/?CIK=1046179&amp;owner=exclude" TargetMode="External"/><Relationship Id="rId14" Type="http://schemas.openxmlformats.org/officeDocument/2006/relationships/hyperlink" Target="https://investor.qualcomm.com/overview/default.asp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edgar/browse/?CIK=0001000184" TargetMode="External"/><Relationship Id="rId13" Type="http://schemas.openxmlformats.org/officeDocument/2006/relationships/hyperlink" Target="https://investors.intuit.com/" TargetMode="External"/><Relationship Id="rId3" Type="http://schemas.openxmlformats.org/officeDocument/2006/relationships/hyperlink" Target="ORCL.xlsx" TargetMode="External"/><Relationship Id="rId7" Type="http://schemas.openxmlformats.org/officeDocument/2006/relationships/hyperlink" Target="https://www.sap.com/investors/en.html" TargetMode="External"/><Relationship Id="rId12" Type="http://schemas.openxmlformats.org/officeDocument/2006/relationships/hyperlink" Target="https://www.sec.gov/edgar/browse/?CIK=1373715&amp;owner=exclude" TargetMode="External"/><Relationship Id="rId17" Type="http://schemas.openxmlformats.org/officeDocument/2006/relationships/hyperlink" Target="https://www.adobe.com/investor-relations.html" TargetMode="External"/><Relationship Id="rId2" Type="http://schemas.openxmlformats.org/officeDocument/2006/relationships/hyperlink" Target="https://investor.oracle.com/home/default.aspx" TargetMode="External"/><Relationship Id="rId16" Type="http://schemas.openxmlformats.org/officeDocument/2006/relationships/hyperlink" Target="Hardware\Tech\ADBE.xlsx" TargetMode="External"/><Relationship Id="rId1" Type="http://schemas.openxmlformats.org/officeDocument/2006/relationships/hyperlink" Target="https://www.sec.gov/edgar/browse/?CIK=1341439&amp;owner=exclude" TargetMode="External"/><Relationship Id="rId6" Type="http://schemas.openxmlformats.org/officeDocument/2006/relationships/hyperlink" Target="https://investor.salesforce.com/overview/default.aspx" TargetMode="External"/><Relationship Id="rId11" Type="http://schemas.openxmlformats.org/officeDocument/2006/relationships/hyperlink" Target="https://www.servicenow.com/company/investor-relations.html" TargetMode="External"/><Relationship Id="rId5" Type="http://schemas.openxmlformats.org/officeDocument/2006/relationships/hyperlink" Target="https://www.sec.gov/edgar/browse/?CIK=1108524&amp;owner=exclude" TargetMode="External"/><Relationship Id="rId15" Type="http://schemas.openxmlformats.org/officeDocument/2006/relationships/hyperlink" Target="INTU.xlsx" TargetMode="External"/><Relationship Id="rId10" Type="http://schemas.openxmlformats.org/officeDocument/2006/relationships/hyperlink" Target="NOW.xlsx" TargetMode="External"/><Relationship Id="rId4" Type="http://schemas.openxmlformats.org/officeDocument/2006/relationships/hyperlink" Target="ModelsResearchMetrics\Models\CRM.xlsx" TargetMode="External"/><Relationship Id="rId9" Type="http://schemas.openxmlformats.org/officeDocument/2006/relationships/hyperlink" Target="CompanyResearchModels\Main\Information%20Technology\SAP.xlsx" TargetMode="External"/><Relationship Id="rId14" Type="http://schemas.openxmlformats.org/officeDocument/2006/relationships/hyperlink" Target="https://www.sec.gov/edgar/browse/?CIK=896878&amp;owner=exclud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edgar/browse/?CIK=937966&amp;owner=exclude" TargetMode="External"/><Relationship Id="rId2" Type="http://schemas.openxmlformats.org/officeDocument/2006/relationships/hyperlink" Target="https://www.asml.com/en/investors" TargetMode="External"/><Relationship Id="rId1" Type="http://schemas.openxmlformats.org/officeDocument/2006/relationships/hyperlink" Target="Hardware\Semiconductors\ASML.xlsx" TargetMode="External"/><Relationship Id="rId6" Type="http://schemas.openxmlformats.org/officeDocument/2006/relationships/hyperlink" Target="https://www.sec.gov/edgar/browse/?CIK=6951&amp;owner=exclude" TargetMode="External"/><Relationship Id="rId5" Type="http://schemas.openxmlformats.org/officeDocument/2006/relationships/hyperlink" Target="Information%20Technology\AMAT.xlsx" TargetMode="External"/><Relationship Id="rId4" Type="http://schemas.openxmlformats.org/officeDocument/2006/relationships/hyperlink" Target="https://ir.appliedmaterials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CSCO.xlsx" TargetMode="External"/><Relationship Id="rId2" Type="http://schemas.openxmlformats.org/officeDocument/2006/relationships/hyperlink" Target="https://investor.cisco.com/home/default.aspx" TargetMode="External"/><Relationship Id="rId1" Type="http://schemas.openxmlformats.org/officeDocument/2006/relationships/hyperlink" Target="https://www.sec.gov/edgar/browse/?CIK=858877&amp;owner=exclude" TargetMode="External"/><Relationship Id="rId4" Type="http://schemas.openxmlformats.org/officeDocument/2006/relationships/hyperlink" Target="https://ir.satixfy.com/overview/default.asp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m.com/investor" TargetMode="External"/><Relationship Id="rId2" Type="http://schemas.openxmlformats.org/officeDocument/2006/relationships/hyperlink" Target="https://www.sec.gov/edgar/browse/?CIK=51143&amp;owner=exclude" TargetMode="External"/><Relationship Id="rId1" Type="http://schemas.openxmlformats.org/officeDocument/2006/relationships/hyperlink" Target="IBM.xlsx" TargetMode="External"/><Relationship Id="rId6" Type="http://schemas.openxmlformats.org/officeDocument/2006/relationships/hyperlink" Target="ACN.xlsx" TargetMode="External"/><Relationship Id="rId5" Type="http://schemas.openxmlformats.org/officeDocument/2006/relationships/hyperlink" Target="https://investor.accenture.com/" TargetMode="External"/><Relationship Id="rId4" Type="http://schemas.openxmlformats.org/officeDocument/2006/relationships/hyperlink" Target="https://www.sec.gov/edgar/browse/?CIK=1467373&amp;owner=exclude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investors.fiserv.com/" TargetMode="External"/><Relationship Id="rId1" Type="http://schemas.openxmlformats.org/officeDocument/2006/relationships/hyperlink" Target="https://investors.adp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B653-F99D-4644-9842-C5A55C808E86}">
  <dimension ref="A1:AV25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8" sqref="E38"/>
    </sheetView>
  </sheetViews>
  <sheetFormatPr defaultRowHeight="12.75" x14ac:dyDescent="0.2"/>
  <cols>
    <col min="1" max="1" width="6.5703125" style="18" bestFit="1" customWidth="1"/>
    <col min="2" max="2" width="11.28515625" bestFit="1" customWidth="1"/>
    <col min="3" max="3" width="32.7109375" bestFit="1" customWidth="1"/>
    <col min="4" max="4" width="20.28515625" bestFit="1" customWidth="1"/>
    <col min="5" max="5" width="35.140625" bestFit="1" customWidth="1"/>
    <col min="13" max="13" width="10" bestFit="1" customWidth="1"/>
  </cols>
  <sheetData>
    <row r="1" spans="1:48" x14ac:dyDescent="0.2">
      <c r="A1" s="26"/>
      <c r="B1" t="s">
        <v>107</v>
      </c>
      <c r="C1" t="s">
        <v>106</v>
      </c>
    </row>
    <row r="2" spans="1:48" s="14" customFormat="1" ht="12.95" customHeight="1" x14ac:dyDescent="0.2">
      <c r="A2" s="32"/>
      <c r="B2" s="2" t="s">
        <v>1</v>
      </c>
      <c r="C2" s="3" t="s">
        <v>2</v>
      </c>
      <c r="D2" s="3" t="s">
        <v>3</v>
      </c>
      <c r="E2" s="2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 t="s">
        <v>11</v>
      </c>
      <c r="M2" s="8" t="s">
        <v>112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">
      <c r="A3" s="30" t="s">
        <v>122</v>
      </c>
      <c r="B3" s="1" t="s">
        <v>20</v>
      </c>
      <c r="C3" s="1" t="s">
        <v>21</v>
      </c>
      <c r="D3" t="s">
        <v>22</v>
      </c>
      <c r="E3" s="18" t="s">
        <v>23</v>
      </c>
      <c r="F3" s="19">
        <v>205.35</v>
      </c>
      <c r="G3" s="20">
        <f t="shared" ref="G3:G4" si="0">+F3*J3</f>
        <v>3091776.9115499998</v>
      </c>
      <c r="H3" s="20">
        <f>+[11]Main!$I$6-[11]Main!$I$7</f>
        <v>34736</v>
      </c>
      <c r="I3" s="20">
        <f t="shared" ref="I3:I4" si="1">+G3-H3</f>
        <v>3057040.9115499998</v>
      </c>
      <c r="J3" s="20">
        <f>+[11]Main!$I$4</f>
        <v>15056.133</v>
      </c>
      <c r="K3" s="21">
        <v>45780</v>
      </c>
      <c r="L3" s="22" t="s">
        <v>111</v>
      </c>
      <c r="M3" s="23">
        <v>0.02</v>
      </c>
      <c r="N3" s="20">
        <f>+SUM([11]Model!$M$41:$P$41)</f>
        <v>97294</v>
      </c>
      <c r="O3" s="20">
        <f>+[12]Model!$AB$44</f>
        <v>93736</v>
      </c>
      <c r="P3" s="22"/>
      <c r="Q3" s="22"/>
      <c r="R3" s="24">
        <f t="shared" ref="R3:U4" si="2">+$I3/N3</f>
        <v>31.420651957469111</v>
      </c>
      <c r="S3" s="24">
        <f t="shared" si="2"/>
        <v>32.613306643658788</v>
      </c>
      <c r="T3" s="24" t="e">
        <f t="shared" si="2"/>
        <v>#DIV/0!</v>
      </c>
      <c r="U3" s="24" t="e">
        <f t="shared" si="2"/>
        <v>#DIV/0!</v>
      </c>
      <c r="V3" s="20">
        <f>+SUM([11]Model!$M$101:$P$101)</f>
        <v>98486</v>
      </c>
      <c r="W3" s="24">
        <f>+$I3/V3</f>
        <v>31.040360168450338</v>
      </c>
      <c r="X3" s="23">
        <v>0.49</v>
      </c>
      <c r="Y3" s="22">
        <v>1976</v>
      </c>
      <c r="Z3" s="18" t="s">
        <v>24</v>
      </c>
      <c r="AA3" s="25" t="s">
        <v>25</v>
      </c>
    </row>
    <row r="4" spans="1:48" x14ac:dyDescent="0.2">
      <c r="A4" s="30" t="s">
        <v>122</v>
      </c>
      <c r="B4" s="1" t="s">
        <v>26</v>
      </c>
      <c r="C4" s="1" t="s">
        <v>27</v>
      </c>
      <c r="D4" t="s">
        <v>22</v>
      </c>
      <c r="E4" t="s">
        <v>28</v>
      </c>
      <c r="F4" s="19">
        <v>422.66</v>
      </c>
      <c r="G4" s="20">
        <f t="shared" si="0"/>
        <v>3153466.2600000002</v>
      </c>
      <c r="H4" s="20">
        <f>+[13]Main!$K$5-[13]Main!$K$6</f>
        <v>52772</v>
      </c>
      <c r="I4" s="20">
        <f t="shared" si="1"/>
        <v>3100694.2600000002</v>
      </c>
      <c r="J4" s="20">
        <f>+[13]Main!$K$3</f>
        <v>7461</v>
      </c>
      <c r="K4" s="21">
        <v>45778</v>
      </c>
      <c r="L4" s="22" t="s">
        <v>104</v>
      </c>
      <c r="M4" s="23">
        <v>0.16</v>
      </c>
      <c r="N4" s="20">
        <f>+SUM([13]Model!$N$27:$Q$27)</f>
        <v>94649</v>
      </c>
      <c r="O4" s="20">
        <f>+[14]Model!$AD$27</f>
        <v>88136</v>
      </c>
      <c r="P4" s="22"/>
      <c r="Q4" s="22"/>
      <c r="R4" s="24">
        <f t="shared" si="2"/>
        <v>32.759926253843147</v>
      </c>
      <c r="S4" s="24">
        <f t="shared" si="2"/>
        <v>35.180791730961246</v>
      </c>
      <c r="T4" s="24" t="e">
        <f t="shared" si="2"/>
        <v>#DIV/0!</v>
      </c>
      <c r="U4" s="24" t="e">
        <f t="shared" si="2"/>
        <v>#DIV/0!</v>
      </c>
      <c r="V4" s="20">
        <f>+[13]Model!$Q$104</f>
        <v>69365</v>
      </c>
      <c r="W4" s="24">
        <f t="shared" ref="W4" si="3">+$I4/V4</f>
        <v>44.701135442946736</v>
      </c>
      <c r="X4" s="23">
        <v>0.28999999999999998</v>
      </c>
      <c r="Y4" s="22">
        <v>1975</v>
      </c>
      <c r="Z4" s="18" t="s">
        <v>29</v>
      </c>
      <c r="AA4" s="26" t="s">
        <v>30</v>
      </c>
    </row>
    <row r="5" spans="1:48" x14ac:dyDescent="0.2">
      <c r="A5" s="33">
        <v>45805</v>
      </c>
      <c r="B5" s="1" t="s">
        <v>31</v>
      </c>
      <c r="C5" s="1" t="s">
        <v>32</v>
      </c>
      <c r="D5" t="s">
        <v>22</v>
      </c>
      <c r="E5" t="s">
        <v>33</v>
      </c>
      <c r="F5" s="19">
        <v>103.23</v>
      </c>
      <c r="G5" s="20">
        <v>2518812</v>
      </c>
      <c r="H5" s="20">
        <v>34747</v>
      </c>
      <c r="I5" s="20">
        <v>2484065</v>
      </c>
      <c r="J5" s="20">
        <v>24400</v>
      </c>
      <c r="K5" s="21">
        <v>45763</v>
      </c>
      <c r="L5" s="22" t="s">
        <v>34</v>
      </c>
      <c r="M5" s="23">
        <v>1.1399999999999999</v>
      </c>
      <c r="N5" s="20">
        <v>71846</v>
      </c>
      <c r="O5" s="20">
        <v>71846</v>
      </c>
      <c r="P5" s="22"/>
      <c r="Q5" s="22"/>
      <c r="R5" s="24">
        <v>34.574854550009746</v>
      </c>
      <c r="S5" s="24">
        <v>34.574854550009746</v>
      </c>
      <c r="T5" s="24" t="e">
        <v>#DIV/0!</v>
      </c>
      <c r="U5" s="24" t="e">
        <v>#DIV/0!</v>
      </c>
      <c r="V5" s="22"/>
      <c r="W5" s="24" t="e">
        <v>#DIV/0!</v>
      </c>
      <c r="X5" s="23"/>
      <c r="Y5" s="22">
        <v>1993</v>
      </c>
      <c r="Z5" s="18" t="s">
        <v>35</v>
      </c>
      <c r="AA5" s="26" t="s">
        <v>36</v>
      </c>
    </row>
    <row r="6" spans="1:48" x14ac:dyDescent="0.2">
      <c r="A6" s="33">
        <v>45819</v>
      </c>
      <c r="B6" s="1" t="s">
        <v>37</v>
      </c>
      <c r="C6" s="1" t="s">
        <v>38</v>
      </c>
      <c r="D6" t="s">
        <v>22</v>
      </c>
      <c r="E6" t="s">
        <v>33</v>
      </c>
      <c r="F6" s="19">
        <v>171</v>
      </c>
      <c r="G6" s="20">
        <v>804033.23060700006</v>
      </c>
      <c r="H6" s="20">
        <v>-57272</v>
      </c>
      <c r="I6" s="20">
        <v>861305.23060700006</v>
      </c>
      <c r="J6" s="20">
        <v>4701.9487170000002</v>
      </c>
      <c r="K6" s="21">
        <v>45764</v>
      </c>
      <c r="L6" s="22" t="s">
        <v>39</v>
      </c>
      <c r="M6" s="23">
        <v>0.44</v>
      </c>
      <c r="N6" s="20">
        <v>14121</v>
      </c>
      <c r="O6" s="20">
        <v>10539</v>
      </c>
      <c r="P6" s="22"/>
      <c r="Q6" s="22"/>
      <c r="R6" s="24">
        <v>60.994634275688696</v>
      </c>
      <c r="S6" s="24">
        <v>81.725517658886048</v>
      </c>
      <c r="T6" s="24" t="e">
        <v>#DIV/0!</v>
      </c>
      <c r="U6" s="24" t="e">
        <v>#DIV/0!</v>
      </c>
      <c r="V6" s="20">
        <v>20724</v>
      </c>
      <c r="W6" s="24">
        <v>41.560761947838259</v>
      </c>
      <c r="X6" s="23">
        <v>0.72</v>
      </c>
      <c r="Y6" s="22">
        <v>1991</v>
      </c>
      <c r="Z6" s="18" t="s">
        <v>40</v>
      </c>
      <c r="AA6" s="26" t="s">
        <v>41</v>
      </c>
    </row>
    <row r="7" spans="1:48" x14ac:dyDescent="0.2">
      <c r="A7" s="30" t="s">
        <v>122</v>
      </c>
      <c r="B7" s="1" t="s">
        <v>43</v>
      </c>
      <c r="C7" s="1" t="s">
        <v>44</v>
      </c>
      <c r="D7" t="s">
        <v>22</v>
      </c>
      <c r="E7" t="s">
        <v>33</v>
      </c>
      <c r="F7" s="19">
        <v>151</v>
      </c>
      <c r="G7" s="20">
        <v>783055.8</v>
      </c>
      <c r="H7" s="20">
        <v>55830</v>
      </c>
      <c r="I7" s="20">
        <v>727225.8</v>
      </c>
      <c r="J7" s="20">
        <v>5185.8</v>
      </c>
      <c r="K7" s="21">
        <v>45764</v>
      </c>
      <c r="L7" s="22" t="s">
        <v>39</v>
      </c>
      <c r="M7" s="23">
        <v>0.3</v>
      </c>
      <c r="N7" s="20">
        <v>39919.85</v>
      </c>
      <c r="O7" s="20">
        <v>36140.74</v>
      </c>
      <c r="P7" s="20">
        <v>42438.739199999996</v>
      </c>
      <c r="Q7" s="20">
        <v>49664.368188119966</v>
      </c>
      <c r="R7" s="24">
        <v>18.217147609522584</v>
      </c>
      <c r="S7" s="24">
        <v>20.122050627629651</v>
      </c>
      <c r="T7" s="24">
        <v>17.135895498045336</v>
      </c>
      <c r="U7" s="24">
        <v>14.642807842544086</v>
      </c>
      <c r="V7" s="20">
        <v>26331</v>
      </c>
      <c r="W7" s="24">
        <v>27.618616839466789</v>
      </c>
      <c r="X7" s="23">
        <v>0.28999999999999998</v>
      </c>
      <c r="Y7" s="22">
        <v>1987</v>
      </c>
      <c r="Z7" s="18" t="s">
        <v>45</v>
      </c>
      <c r="AA7" s="26" t="s">
        <v>46</v>
      </c>
    </row>
    <row r="8" spans="1:48" x14ac:dyDescent="0.2">
      <c r="A8" s="33">
        <v>45818</v>
      </c>
      <c r="B8" s="1" t="s">
        <v>47</v>
      </c>
      <c r="C8" s="1" t="s">
        <v>48</v>
      </c>
      <c r="D8" t="s">
        <v>22</v>
      </c>
      <c r="E8" t="s">
        <v>49</v>
      </c>
      <c r="F8" s="19">
        <v>124</v>
      </c>
      <c r="G8" s="20">
        <f t="shared" ref="G8:G10" si="4">+F8*J8</f>
        <v>347725.016</v>
      </c>
      <c r="H8" s="20">
        <f>+[1]Main!$L$6-[1]Main!$L$7</f>
        <v>-78453</v>
      </c>
      <c r="I8" s="20">
        <f t="shared" ref="I8:I10" si="5">+G8-H8</f>
        <v>426178.016</v>
      </c>
      <c r="J8" s="20">
        <f>+[1]Main!$L$4</f>
        <v>2804.2339999999999</v>
      </c>
      <c r="K8" s="21">
        <v>45768</v>
      </c>
      <c r="L8" s="22" t="s">
        <v>104</v>
      </c>
      <c r="M8" s="23">
        <v>0.06</v>
      </c>
      <c r="N8" s="20">
        <f>+SUM([1]Model!$M$19:$P$19)</f>
        <v>16139</v>
      </c>
      <c r="O8" s="20">
        <f>+[1]Model!$AC$19</f>
        <v>14293</v>
      </c>
      <c r="P8" s="22"/>
      <c r="Q8" s="22"/>
      <c r="R8" s="24">
        <f t="shared" ref="R8:U9" si="6">+$I8/N8</f>
        <v>26.406717640498172</v>
      </c>
      <c r="S8" s="24">
        <f t="shared" si="6"/>
        <v>29.817254320296648</v>
      </c>
      <c r="T8" s="24" t="e">
        <f t="shared" si="6"/>
        <v>#DIV/0!</v>
      </c>
      <c r="U8" s="24" t="e">
        <f t="shared" si="6"/>
        <v>#DIV/0!</v>
      </c>
      <c r="V8" s="20">
        <f>+SUM([1]Model!$M$55:$P$55)</f>
        <v>5812</v>
      </c>
      <c r="W8" s="24">
        <f t="shared" ref="W8:W10" si="7">+$I8/V8</f>
        <v>73.327256710254645</v>
      </c>
      <c r="X8" s="23">
        <v>0.23</v>
      </c>
      <c r="Y8" s="22">
        <v>1977</v>
      </c>
      <c r="Z8" s="18" t="s">
        <v>105</v>
      </c>
      <c r="AA8" s="26" t="s">
        <v>50</v>
      </c>
    </row>
    <row r="9" spans="1:48" x14ac:dyDescent="0.2">
      <c r="A9" s="33">
        <v>45812</v>
      </c>
      <c r="B9" s="1" t="s">
        <v>115</v>
      </c>
      <c r="C9" s="1" t="s">
        <v>116</v>
      </c>
      <c r="D9" t="s">
        <v>22</v>
      </c>
      <c r="E9" t="s">
        <v>49</v>
      </c>
      <c r="F9" s="19">
        <v>261.91000000000003</v>
      </c>
      <c r="G9" s="20">
        <f t="shared" si="4"/>
        <v>255100.34000000003</v>
      </c>
      <c r="H9" s="20">
        <f>+[2]Main!$L$5-[2]Main!$L$6</f>
        <v>10451</v>
      </c>
      <c r="I9" s="20">
        <f t="shared" si="5"/>
        <v>244649.34000000003</v>
      </c>
      <c r="J9" s="20">
        <f>+[2]Main!$L$3</f>
        <v>974</v>
      </c>
      <c r="K9" s="21">
        <v>45771</v>
      </c>
      <c r="L9" s="22" t="s">
        <v>117</v>
      </c>
      <c r="M9" s="23">
        <v>0.09</v>
      </c>
      <c r="N9" s="20">
        <f>+SUM([2]Model!$S$16:$V$16)</f>
        <v>6779</v>
      </c>
      <c r="O9" s="20">
        <f>+[2]Model!$AK$16</f>
        <v>6779</v>
      </c>
      <c r="P9" s="22"/>
      <c r="Q9" s="22"/>
      <c r="R9" s="24">
        <f t="shared" si="6"/>
        <v>36.089296356394755</v>
      </c>
      <c r="S9" s="24">
        <f t="shared" si="6"/>
        <v>36.089296356394755</v>
      </c>
      <c r="T9" s="24" t="e">
        <f t="shared" si="6"/>
        <v>#DIV/0!</v>
      </c>
      <c r="U9" s="24" t="e">
        <f t="shared" si="6"/>
        <v>#DIV/0!</v>
      </c>
      <c r="V9" s="20">
        <f>+SUM([2]Model!$S$29:$V$29)</f>
        <v>12434</v>
      </c>
      <c r="W9" s="24">
        <f t="shared" si="7"/>
        <v>19.675835612031527</v>
      </c>
      <c r="X9" s="23"/>
      <c r="Y9" s="22">
        <v>1999</v>
      </c>
      <c r="Z9" s="18" t="s">
        <v>118</v>
      </c>
      <c r="AA9" s="26" t="s">
        <v>119</v>
      </c>
    </row>
    <row r="10" spans="1:48" x14ac:dyDescent="0.2">
      <c r="A10" s="33"/>
      <c r="B10" s="1" t="s">
        <v>51</v>
      </c>
      <c r="C10" s="1" t="s">
        <v>52</v>
      </c>
      <c r="D10" t="s">
        <v>22</v>
      </c>
      <c r="E10" t="s">
        <v>49</v>
      </c>
      <c r="F10" s="19">
        <v>216.75</v>
      </c>
      <c r="G10" s="20">
        <f t="shared" si="4"/>
        <v>252947.25</v>
      </c>
      <c r="H10" s="20">
        <f>+[3]Main!$L$6-[3]Main!$L$7</f>
        <v>-2009</v>
      </c>
      <c r="I10" s="20">
        <f t="shared" si="5"/>
        <v>254956.25</v>
      </c>
      <c r="J10" s="20">
        <f>+[3]Main!$L$4</f>
        <v>1167</v>
      </c>
      <c r="K10" s="21">
        <v>45769</v>
      </c>
      <c r="L10" s="22" t="s">
        <v>108</v>
      </c>
      <c r="M10" s="23">
        <v>0.1</v>
      </c>
      <c r="N10" s="20">
        <f>+SUM([3]Model!$N$18:$Q$18)</f>
        <v>6678</v>
      </c>
      <c r="O10" s="20">
        <f>+[3]Model!$AC$18</f>
        <v>0</v>
      </c>
      <c r="P10" s="22"/>
      <c r="Q10" s="22"/>
      <c r="R10" s="24">
        <f>+$I10/N10</f>
        <v>38.178533992213239</v>
      </c>
      <c r="S10" s="24" t="e">
        <f>+$I10/O10</f>
        <v>#DIV/0!</v>
      </c>
      <c r="T10" s="24" t="e">
        <f>+$I10/P10</f>
        <v>#DIV/0!</v>
      </c>
      <c r="U10" s="24" t="e">
        <f>+$I10/Q10</f>
        <v>#DIV/0!</v>
      </c>
      <c r="V10" s="20">
        <f>+SUM([3]Model!$N$54:$Q$54)</f>
        <v>4545</v>
      </c>
      <c r="W10" s="24">
        <f t="shared" si="7"/>
        <v>56.095984598459843</v>
      </c>
      <c r="X10" s="23">
        <v>0.31</v>
      </c>
      <c r="Y10" s="22">
        <v>1972</v>
      </c>
      <c r="Z10" s="18" t="s">
        <v>109</v>
      </c>
      <c r="AA10" s="26" t="s">
        <v>53</v>
      </c>
    </row>
    <row r="11" spans="1:48" x14ac:dyDescent="0.2">
      <c r="A11" s="30" t="s">
        <v>122</v>
      </c>
      <c r="B11" s="1" t="s">
        <v>54</v>
      </c>
      <c r="C11" s="1" t="s">
        <v>54</v>
      </c>
      <c r="D11" t="s">
        <v>22</v>
      </c>
      <c r="E11" t="s">
        <v>55</v>
      </c>
      <c r="F11" s="19">
        <v>573.1</v>
      </c>
      <c r="G11" s="20">
        <v>224941.75</v>
      </c>
      <c r="H11" s="20">
        <v>5422.6</v>
      </c>
      <c r="I11" s="20">
        <v>219519.15</v>
      </c>
      <c r="J11" s="20">
        <v>392.5</v>
      </c>
      <c r="K11" s="21">
        <v>45763</v>
      </c>
      <c r="L11" s="22" t="s">
        <v>39</v>
      </c>
      <c r="M11" s="23">
        <v>0.03</v>
      </c>
      <c r="N11" s="20">
        <v>8490.1999999999989</v>
      </c>
      <c r="O11" s="20">
        <v>8468.9016000000011</v>
      </c>
      <c r="P11" s="20">
        <v>9858.582315200003</v>
      </c>
      <c r="Q11" s="20">
        <v>11421.711756726403</v>
      </c>
      <c r="R11" s="24">
        <v>25.85559232998045</v>
      </c>
      <c r="S11" s="24">
        <v>25.920616435075829</v>
      </c>
      <c r="T11" s="24">
        <v>22.266807029804323</v>
      </c>
      <c r="U11" s="24">
        <v>19.219461554939183</v>
      </c>
      <c r="V11" s="20">
        <v>9294.6</v>
      </c>
      <c r="W11" s="24">
        <v>23.617923310309209</v>
      </c>
      <c r="X11" s="23">
        <v>0.27</v>
      </c>
      <c r="Y11" s="22">
        <v>1984</v>
      </c>
      <c r="Z11" s="18" t="s">
        <v>56</v>
      </c>
      <c r="AA11" s="26" t="s">
        <v>57</v>
      </c>
    </row>
    <row r="12" spans="1:48" x14ac:dyDescent="0.2">
      <c r="A12" s="33"/>
      <c r="B12" s="1" t="s">
        <v>58</v>
      </c>
      <c r="C12" s="1" t="s">
        <v>59</v>
      </c>
      <c r="D12" t="s">
        <v>22</v>
      </c>
      <c r="E12" t="s">
        <v>49</v>
      </c>
      <c r="F12" s="19">
        <v>94.47</v>
      </c>
      <c r="G12" s="20">
        <f t="shared" ref="G12:G15" si="8">+F12*J12</f>
        <v>212458.38453221996</v>
      </c>
      <c r="H12" s="20">
        <f>+[4]Main!$L$6-[4]Main!$L$7</f>
        <v>5229.9870000000001</v>
      </c>
      <c r="I12" s="20">
        <f t="shared" ref="I12:I15" si="9">+G12-H12</f>
        <v>207228.39753221997</v>
      </c>
      <c r="J12" s="20">
        <f>+[4]Main!$L$4</f>
        <v>2248.9508259999998</v>
      </c>
      <c r="K12" s="21">
        <v>45769</v>
      </c>
      <c r="L12" s="22" t="s">
        <v>108</v>
      </c>
      <c r="M12" s="23">
        <v>0.28999999999999998</v>
      </c>
      <c r="N12" s="20">
        <f>+SUM([4]Model!$N$14:$Q$14)</f>
        <v>485.94000000000028</v>
      </c>
      <c r="O12" s="20">
        <f>+[4]Model!$AC$14</f>
        <v>485.93999999999983</v>
      </c>
      <c r="P12" s="22"/>
      <c r="Q12" s="22"/>
      <c r="R12" s="24">
        <f t="shared" ref="R12:U15" si="10">+$I12/N12</f>
        <v>426.44852766230366</v>
      </c>
      <c r="S12" s="24">
        <f t="shared" si="10"/>
        <v>426.44852766230406</v>
      </c>
      <c r="T12" s="24" t="e">
        <f t="shared" si="10"/>
        <v>#DIV/0!</v>
      </c>
      <c r="U12" s="24" t="e">
        <f t="shared" si="10"/>
        <v>#DIV/0!</v>
      </c>
      <c r="V12" s="20">
        <f>+SUM([4]Model!$N$48:$Q$48)</f>
        <v>1141.2310000000002</v>
      </c>
      <c r="W12" s="24">
        <f t="shared" ref="W12:W15" si="11">+$I12/V12</f>
        <v>181.58321806209253</v>
      </c>
      <c r="X12" s="23">
        <v>0.44</v>
      </c>
      <c r="Y12" s="22">
        <v>2003</v>
      </c>
      <c r="Z12" s="18" t="s">
        <v>110</v>
      </c>
      <c r="AA12" s="26" t="s">
        <v>60</v>
      </c>
    </row>
    <row r="13" spans="1:48" x14ac:dyDescent="0.2">
      <c r="A13" s="33"/>
      <c r="B13" s="1" t="s">
        <v>61</v>
      </c>
      <c r="C13" s="1" t="s">
        <v>62</v>
      </c>
      <c r="D13" t="s">
        <v>22</v>
      </c>
      <c r="E13" t="s">
        <v>63</v>
      </c>
      <c r="F13" s="19">
        <v>56</v>
      </c>
      <c r="G13" s="20">
        <f t="shared" si="8"/>
        <v>222784.376192</v>
      </c>
      <c r="H13" s="20">
        <f>+[5]Main!$L$6-[5]Main!$L$7</f>
        <v>-14185</v>
      </c>
      <c r="I13" s="20">
        <f t="shared" si="9"/>
        <v>236969.376192</v>
      </c>
      <c r="J13" s="20">
        <f>+[5]Main!$L$4</f>
        <v>3978.2924320000002</v>
      </c>
      <c r="K13" s="21">
        <v>45770</v>
      </c>
      <c r="L13" s="22" t="s">
        <v>111</v>
      </c>
      <c r="M13" s="23">
        <v>-0.06</v>
      </c>
      <c r="N13" s="20">
        <f>+SUM([5]Model!$L$20:$O$20)</f>
        <v>11714</v>
      </c>
      <c r="O13" s="20">
        <f>+[5]Model!$AC$20</f>
        <v>12113</v>
      </c>
      <c r="P13" s="22"/>
      <c r="Q13" s="22"/>
      <c r="R13" s="24">
        <f t="shared" si="10"/>
        <v>20.229586494109611</v>
      </c>
      <c r="S13" s="24">
        <f t="shared" si="10"/>
        <v>19.56322762255428</v>
      </c>
      <c r="T13" s="24" t="e">
        <f t="shared" si="10"/>
        <v>#DIV/0!</v>
      </c>
      <c r="U13" s="24" t="e">
        <f t="shared" si="10"/>
        <v>#DIV/0!</v>
      </c>
      <c r="V13" s="20">
        <f>+SUM([5]Model!$L$81:$O$81)</f>
        <v>12810</v>
      </c>
      <c r="W13" s="24">
        <f t="shared" si="11"/>
        <v>18.498780342857142</v>
      </c>
      <c r="X13" s="23">
        <v>0.33</v>
      </c>
      <c r="Y13" s="22">
        <v>1984</v>
      </c>
      <c r="Z13" s="18" t="s">
        <v>40</v>
      </c>
      <c r="AA13" s="26" t="s">
        <v>64</v>
      </c>
    </row>
    <row r="14" spans="1:48" x14ac:dyDescent="0.2">
      <c r="A14" s="30" t="s">
        <v>122</v>
      </c>
      <c r="B14" s="1" t="s">
        <v>65</v>
      </c>
      <c r="C14" s="1" t="s">
        <v>66</v>
      </c>
      <c r="D14" t="s">
        <v>22</v>
      </c>
      <c r="E14" t="s">
        <v>67</v>
      </c>
      <c r="F14" s="19">
        <v>245.48</v>
      </c>
      <c r="G14" s="20">
        <f t="shared" si="8"/>
        <v>232076.79199999999</v>
      </c>
      <c r="H14" s="20">
        <f>+[6]Main!$L$6-[6]Main!$L$7</f>
        <v>-43837</v>
      </c>
      <c r="I14" s="20">
        <f t="shared" si="9"/>
        <v>275913.79200000002</v>
      </c>
      <c r="J14" s="20">
        <f>+[6]Main!$L$4</f>
        <v>945.4</v>
      </c>
      <c r="K14" s="21">
        <v>45770</v>
      </c>
      <c r="L14" s="22" t="s">
        <v>39</v>
      </c>
      <c r="M14" s="23">
        <v>0.01</v>
      </c>
      <c r="N14" s="20">
        <f>+SUM([6]Model!$P$19:$S$19)</f>
        <v>6486</v>
      </c>
      <c r="O14" s="20">
        <f>+[6]Model!$AF$19</f>
        <v>6891</v>
      </c>
      <c r="P14" s="22"/>
      <c r="Q14" s="22"/>
      <c r="R14" s="24">
        <f t="shared" si="10"/>
        <v>42.53990009250694</v>
      </c>
      <c r="S14" s="24">
        <f t="shared" si="10"/>
        <v>40.039731824118419</v>
      </c>
      <c r="T14" s="24" t="e">
        <f t="shared" si="10"/>
        <v>#DIV/0!</v>
      </c>
      <c r="U14" s="24" t="e">
        <f t="shared" si="10"/>
        <v>#DIV/0!</v>
      </c>
      <c r="V14" s="22"/>
      <c r="W14" s="24" t="e">
        <f t="shared" si="11"/>
        <v>#DIV/0!</v>
      </c>
      <c r="X14" s="23"/>
      <c r="Y14" s="22">
        <v>1911</v>
      </c>
      <c r="Z14" s="18" t="s">
        <v>113</v>
      </c>
      <c r="AA14" s="26" t="s">
        <v>68</v>
      </c>
    </row>
    <row r="15" spans="1:48" x14ac:dyDescent="0.2">
      <c r="A15" s="30" t="s">
        <v>122</v>
      </c>
      <c r="B15" s="1" t="s">
        <v>69</v>
      </c>
      <c r="C15" s="1" t="s">
        <v>70</v>
      </c>
      <c r="D15" t="s">
        <v>22</v>
      </c>
      <c r="E15" t="s">
        <v>67</v>
      </c>
      <c r="F15" s="19">
        <v>293.11</v>
      </c>
      <c r="G15" s="20">
        <f t="shared" si="8"/>
        <v>198831.58471619998</v>
      </c>
      <c r="H15" s="20">
        <f>+[7]Main!$L$5-[7]Main!$L$6</f>
        <v>3779.9299999999994</v>
      </c>
      <c r="I15" s="20">
        <f t="shared" si="9"/>
        <v>195051.65471619999</v>
      </c>
      <c r="J15" s="20">
        <f>+[7]Main!$L$3</f>
        <v>678.35141999999996</v>
      </c>
      <c r="K15" s="21">
        <v>45773</v>
      </c>
      <c r="L15" s="22" t="s">
        <v>111</v>
      </c>
      <c r="M15" s="23">
        <v>0.01</v>
      </c>
      <c r="N15" s="20">
        <f>+SUM([7]Model!$K$27:$N$27)</f>
        <v>8097.052999999999</v>
      </c>
      <c r="O15" s="20">
        <f>+[7]Model!AB$27</f>
        <v>7967.4480000000112</v>
      </c>
      <c r="P15" s="20">
        <f>+[7]Model!AC$27</f>
        <v>8428.2678607000216</v>
      </c>
      <c r="Q15" s="20">
        <f>+[7]Model!AD$27</f>
        <v>9438.3046726358752</v>
      </c>
      <c r="R15" s="24">
        <f t="shared" si="10"/>
        <v>24.089215510408543</v>
      </c>
      <c r="S15" s="24">
        <f t="shared" si="10"/>
        <v>24.481070314635215</v>
      </c>
      <c r="T15" s="24">
        <f t="shared" si="10"/>
        <v>23.142555260458902</v>
      </c>
      <c r="U15" s="24">
        <f t="shared" si="10"/>
        <v>20.665962954311698</v>
      </c>
      <c r="V15" s="20">
        <f>+SUM([7]Model!$K$87:$N$87)</f>
        <v>9746.5490000000009</v>
      </c>
      <c r="W15" s="24">
        <f t="shared" si="11"/>
        <v>20.012381276306105</v>
      </c>
      <c r="X15" s="23">
        <v>0.3</v>
      </c>
      <c r="Y15" s="22">
        <v>1989</v>
      </c>
      <c r="Z15" s="18" t="s">
        <v>121</v>
      </c>
      <c r="AA15" s="26" t="s">
        <v>71</v>
      </c>
    </row>
    <row r="16" spans="1:48" x14ac:dyDescent="0.2">
      <c r="A16" s="33"/>
      <c r="B16" t="s">
        <v>72</v>
      </c>
      <c r="C16" t="s">
        <v>73</v>
      </c>
      <c r="D16" t="s">
        <v>22</v>
      </c>
      <c r="E16" t="s">
        <v>63</v>
      </c>
      <c r="F16" s="19"/>
      <c r="G16" s="20">
        <v>0</v>
      </c>
      <c r="H16" s="20"/>
      <c r="I16" s="20">
        <v>0</v>
      </c>
      <c r="J16" s="20"/>
      <c r="K16" s="21"/>
      <c r="L16" s="22"/>
      <c r="M16" s="23"/>
      <c r="N16" s="22"/>
      <c r="O16" s="22"/>
      <c r="P16" s="22"/>
      <c r="Q16" s="22"/>
      <c r="R16" s="24" t="e">
        <v>#DIV/0!</v>
      </c>
      <c r="S16" s="24" t="e">
        <v>#DIV/0!</v>
      </c>
      <c r="T16" s="24" t="e">
        <v>#DIV/0!</v>
      </c>
      <c r="U16" s="24" t="e">
        <v>#DIV/0!</v>
      </c>
      <c r="V16" s="22"/>
      <c r="W16" s="24" t="e">
        <v>#DIV/0!</v>
      </c>
      <c r="X16" s="23"/>
      <c r="Y16" s="22"/>
      <c r="Z16" s="18"/>
      <c r="AA16" s="26" t="s">
        <v>74</v>
      </c>
    </row>
    <row r="17" spans="1:27" x14ac:dyDescent="0.2">
      <c r="A17" s="30" t="s">
        <v>122</v>
      </c>
      <c r="B17" s="1" t="s">
        <v>75</v>
      </c>
      <c r="C17" s="1" t="s">
        <v>76</v>
      </c>
      <c r="D17" t="s">
        <v>22</v>
      </c>
      <c r="E17" t="s">
        <v>49</v>
      </c>
      <c r="F17" s="19">
        <v>813</v>
      </c>
      <c r="G17" s="20">
        <f t="shared" ref="G17:G18" si="12">+F17*J17</f>
        <v>169917</v>
      </c>
      <c r="H17" s="20">
        <f>+[8]Main!$L$5-[8]Main!$L$6</f>
        <v>9442</v>
      </c>
      <c r="I17" s="20">
        <f t="shared" ref="I17:I18" si="13">+G17-H17</f>
        <v>160475</v>
      </c>
      <c r="J17" s="20">
        <f>+[8]Main!$L$3</f>
        <v>209</v>
      </c>
      <c r="K17" s="21">
        <v>45771</v>
      </c>
      <c r="L17" s="22" t="s">
        <v>39</v>
      </c>
      <c r="M17" s="23">
        <v>0.22</v>
      </c>
      <c r="N17" s="20">
        <f>+SUM([8]Model!$P$17:$S$17)</f>
        <v>1586</v>
      </c>
      <c r="O17" s="20">
        <f>+[8]Model!AD$17</f>
        <v>1470</v>
      </c>
      <c r="P17" s="20">
        <f>+[8]Model!AE$17</f>
        <v>1269.6639999999995</v>
      </c>
      <c r="Q17" s="20">
        <f>+[8]Model!AF$17</f>
        <v>1523.7175359999997</v>
      </c>
      <c r="R17" s="24">
        <f t="shared" ref="R17:U18" si="14">+$I17/N17</f>
        <v>101.18221941992434</v>
      </c>
      <c r="S17" s="24">
        <f t="shared" si="14"/>
        <v>109.16666666666667</v>
      </c>
      <c r="T17" s="24">
        <f t="shared" si="14"/>
        <v>126.39170678226685</v>
      </c>
      <c r="U17" s="24">
        <f t="shared" si="14"/>
        <v>105.31807648632328</v>
      </c>
      <c r="V17" s="20">
        <f>+SUM([8]Model!$P$80:$S$80)</f>
        <v>3681</v>
      </c>
      <c r="W17" s="24">
        <f t="shared" ref="W17:W18" si="15">+$I17/V17</f>
        <v>43.595490355881552</v>
      </c>
      <c r="X17" s="23"/>
      <c r="Y17" s="22">
        <v>2003</v>
      </c>
      <c r="Z17" s="18" t="s">
        <v>35</v>
      </c>
      <c r="AA17" s="26" t="s">
        <v>77</v>
      </c>
    </row>
    <row r="18" spans="1:27" x14ac:dyDescent="0.2">
      <c r="A18" s="30" t="s">
        <v>122</v>
      </c>
      <c r="B18" s="1" t="s">
        <v>78</v>
      </c>
      <c r="C18" s="1" t="s">
        <v>79</v>
      </c>
      <c r="D18" t="s">
        <v>22</v>
      </c>
      <c r="E18" t="s">
        <v>49</v>
      </c>
      <c r="F18" s="19">
        <v>624.6</v>
      </c>
      <c r="G18" s="20">
        <f t="shared" si="12"/>
        <v>174614.42520000003</v>
      </c>
      <c r="H18" s="20">
        <f>+[9]Main!$L$6-[9]Main!$L$7</f>
        <v>-2337</v>
      </c>
      <c r="I18" s="20">
        <f t="shared" si="13"/>
        <v>176951.42520000003</v>
      </c>
      <c r="J18" s="20">
        <f>+[9]Main!$L$4</f>
        <v>279.56200000000001</v>
      </c>
      <c r="K18" s="21">
        <v>45772</v>
      </c>
      <c r="L18" s="22" t="s">
        <v>111</v>
      </c>
      <c r="M18" s="23">
        <v>0.13</v>
      </c>
      <c r="N18" s="20">
        <f>+SUM([9]Model!$L$16:$O$16)</f>
        <v>3902</v>
      </c>
      <c r="O18" s="20">
        <f>+[9]Model!$AB$16</f>
        <v>3815</v>
      </c>
      <c r="P18" s="22"/>
      <c r="Q18" s="22"/>
      <c r="R18" s="24">
        <f t="shared" si="14"/>
        <v>45.348904459251671</v>
      </c>
      <c r="S18" s="24">
        <f t="shared" si="14"/>
        <v>46.383073446920058</v>
      </c>
      <c r="T18" s="24" t="e">
        <f t="shared" si="14"/>
        <v>#DIV/0!</v>
      </c>
      <c r="U18" s="24" t="e">
        <f t="shared" si="14"/>
        <v>#DIV/0!</v>
      </c>
      <c r="V18" s="20">
        <f>+SUM([9]Model!$L$94:$O$94)</f>
        <v>5632</v>
      </c>
      <c r="W18" s="24">
        <f t="shared" si="15"/>
        <v>31.418932031250005</v>
      </c>
      <c r="X18" s="23">
        <v>0.46</v>
      </c>
      <c r="Y18" s="22">
        <v>1983</v>
      </c>
      <c r="Z18" s="18" t="s">
        <v>120</v>
      </c>
      <c r="AA18" s="26" t="s">
        <v>80</v>
      </c>
    </row>
    <row r="19" spans="1:27" x14ac:dyDescent="0.2">
      <c r="A19" s="31"/>
      <c r="B19" s="1" t="s">
        <v>81</v>
      </c>
      <c r="C19" s="1" t="s">
        <v>82</v>
      </c>
      <c r="D19" t="s">
        <v>22</v>
      </c>
      <c r="E19" t="s">
        <v>33</v>
      </c>
      <c r="F19" s="19"/>
      <c r="G19" s="20">
        <v>0</v>
      </c>
      <c r="H19" s="20"/>
      <c r="I19" s="20">
        <v>0</v>
      </c>
      <c r="J19" s="20"/>
      <c r="K19" s="21"/>
      <c r="L19" s="22"/>
      <c r="M19" s="23"/>
      <c r="N19" s="22"/>
      <c r="O19" s="22"/>
      <c r="P19" s="22"/>
      <c r="Q19" s="22"/>
      <c r="R19" s="24" t="e">
        <v>#DIV/0!</v>
      </c>
      <c r="S19" s="24" t="e">
        <v>#DIV/0!</v>
      </c>
      <c r="T19" s="24" t="e">
        <v>#DIV/0!</v>
      </c>
      <c r="U19" s="24" t="e">
        <v>#DIV/0!</v>
      </c>
      <c r="V19" s="22"/>
      <c r="W19" s="24" t="e">
        <v>#DIV/0!</v>
      </c>
      <c r="X19" s="23"/>
      <c r="Y19" s="22"/>
      <c r="Z19" s="18"/>
      <c r="AA19" s="26" t="s">
        <v>83</v>
      </c>
    </row>
    <row r="20" spans="1:27" x14ac:dyDescent="0.2">
      <c r="A20" s="33"/>
      <c r="B20" t="s">
        <v>84</v>
      </c>
      <c r="C20" s="1" t="s">
        <v>85</v>
      </c>
      <c r="D20" t="s">
        <v>22</v>
      </c>
      <c r="E20" t="s">
        <v>33</v>
      </c>
      <c r="F20" s="19"/>
      <c r="G20" s="20">
        <v>0</v>
      </c>
      <c r="H20" s="20"/>
      <c r="I20" s="20">
        <v>0</v>
      </c>
      <c r="J20" s="20"/>
      <c r="K20" s="21"/>
      <c r="L20" s="22"/>
      <c r="M20" s="23"/>
      <c r="N20" s="22"/>
      <c r="O20" s="22"/>
      <c r="P20" s="22"/>
      <c r="Q20" s="22"/>
      <c r="R20" s="24" t="e">
        <v>#DIV/0!</v>
      </c>
      <c r="S20" s="24" t="e">
        <v>#DIV/0!</v>
      </c>
      <c r="T20" s="24" t="e">
        <v>#DIV/0!</v>
      </c>
      <c r="U20" s="24" t="e">
        <v>#DIV/0!</v>
      </c>
      <c r="V20" s="22"/>
      <c r="W20" s="24" t="e">
        <v>#DIV/0!</v>
      </c>
      <c r="X20" s="23"/>
      <c r="Y20" s="22"/>
      <c r="Z20" s="18"/>
      <c r="AA20" s="26" t="s">
        <v>86</v>
      </c>
    </row>
    <row r="21" spans="1:27" x14ac:dyDescent="0.2">
      <c r="A21" s="33"/>
      <c r="B21" t="s">
        <v>87</v>
      </c>
      <c r="C21" s="1" t="s">
        <v>88</v>
      </c>
      <c r="D21" t="s">
        <v>22</v>
      </c>
      <c r="E21" t="s">
        <v>49</v>
      </c>
      <c r="F21" s="19"/>
      <c r="G21" s="20">
        <v>0</v>
      </c>
      <c r="H21" s="20"/>
      <c r="I21" s="20">
        <v>0</v>
      </c>
      <c r="J21" s="20"/>
      <c r="K21" s="21"/>
      <c r="L21" s="22"/>
      <c r="M21" s="23"/>
      <c r="N21" s="22"/>
      <c r="O21" s="22"/>
      <c r="P21" s="22"/>
      <c r="Q21" s="22"/>
      <c r="R21" s="24" t="e">
        <v>#DIV/0!</v>
      </c>
      <c r="S21" s="24" t="e">
        <v>#DIV/0!</v>
      </c>
      <c r="T21" s="24" t="e">
        <v>#DIV/0!</v>
      </c>
      <c r="U21" s="24" t="e">
        <v>#DIV/0!</v>
      </c>
      <c r="V21" s="22"/>
      <c r="W21" s="24" t="e">
        <v>#DIV/0!</v>
      </c>
      <c r="X21" s="23"/>
      <c r="Y21" s="22"/>
      <c r="Z21" s="18"/>
      <c r="AA21" s="26" t="s">
        <v>89</v>
      </c>
    </row>
    <row r="22" spans="1:27" x14ac:dyDescent="0.2">
      <c r="A22" s="30" t="s">
        <v>122</v>
      </c>
      <c r="B22" s="1" t="s">
        <v>90</v>
      </c>
      <c r="C22" s="1" t="s">
        <v>91</v>
      </c>
      <c r="D22" t="s">
        <v>22</v>
      </c>
      <c r="E22" t="s">
        <v>33</v>
      </c>
      <c r="F22" s="19">
        <v>152</v>
      </c>
      <c r="G22" s="20">
        <f t="shared" ref="G22" si="16">+F22*J22</f>
        <v>138320</v>
      </c>
      <c r="H22" s="20">
        <f>+[10]Main!$L$6-[10]Main!$L$7</f>
        <v>-7843</v>
      </c>
      <c r="I22" s="20">
        <f t="shared" ref="I22" si="17">+G22-H22</f>
        <v>146163</v>
      </c>
      <c r="J22" s="20">
        <f>+[10]Main!$L$4</f>
        <v>910</v>
      </c>
      <c r="K22" s="21">
        <v>45771</v>
      </c>
      <c r="L22" s="22" t="s">
        <v>39</v>
      </c>
      <c r="M22" s="23">
        <v>-0.11</v>
      </c>
      <c r="N22" s="20">
        <f>+SUM([10]Model!$P$16:$S$16)</f>
        <v>4442</v>
      </c>
      <c r="O22" s="20">
        <f>+[10]Model!$AG$16</f>
        <v>4179</v>
      </c>
      <c r="P22" s="22"/>
      <c r="Q22" s="22"/>
      <c r="R22" s="24">
        <f t="shared" ref="R22:U22" si="18">+$I22/N22</f>
        <v>32.904772624943718</v>
      </c>
      <c r="S22" s="24">
        <f t="shared" si="18"/>
        <v>34.975592246949034</v>
      </c>
      <c r="T22" s="24" t="e">
        <f t="shared" si="18"/>
        <v>#DIV/0!</v>
      </c>
      <c r="U22" s="24" t="e">
        <f t="shared" si="18"/>
        <v>#DIV/0!</v>
      </c>
      <c r="V22" s="20">
        <f>+SUM([10]Model!$P$80:$S$80)</f>
        <v>1455</v>
      </c>
      <c r="W22" s="24">
        <f t="shared" ref="W22" si="19">+$I22/V22</f>
        <v>100.45567010309279</v>
      </c>
      <c r="X22" s="23">
        <v>0.18</v>
      </c>
      <c r="Y22" s="22">
        <v>1930</v>
      </c>
      <c r="Z22" s="18" t="s">
        <v>114</v>
      </c>
      <c r="AA22" s="26" t="s">
        <v>92</v>
      </c>
    </row>
    <row r="23" spans="1:27" x14ac:dyDescent="0.2">
      <c r="A23" s="33"/>
      <c r="B23" t="s">
        <v>93</v>
      </c>
      <c r="C23" t="s">
        <v>94</v>
      </c>
      <c r="D23" t="s">
        <v>22</v>
      </c>
      <c r="E23" t="s">
        <v>95</v>
      </c>
      <c r="F23" s="19"/>
      <c r="G23" s="20">
        <v>0</v>
      </c>
      <c r="H23" s="20"/>
      <c r="I23" s="20">
        <v>0</v>
      </c>
      <c r="J23" s="20"/>
      <c r="K23" s="21"/>
      <c r="L23" s="22"/>
      <c r="M23" s="23"/>
      <c r="N23" s="22"/>
      <c r="O23" s="22"/>
      <c r="P23" s="22"/>
      <c r="Q23" s="22"/>
      <c r="R23" s="24" t="e">
        <v>#DIV/0!</v>
      </c>
      <c r="S23" s="24" t="e">
        <v>#DIV/0!</v>
      </c>
      <c r="T23" s="24" t="e">
        <v>#DIV/0!</v>
      </c>
      <c r="U23" s="24" t="e">
        <v>#DIV/0!</v>
      </c>
      <c r="V23" s="22"/>
      <c r="W23" s="24" t="e">
        <v>#DIV/0!</v>
      </c>
      <c r="X23" s="23"/>
      <c r="Y23" s="22"/>
      <c r="Z23" s="18"/>
      <c r="AA23" s="26" t="s">
        <v>96</v>
      </c>
    </row>
    <row r="24" spans="1:27" x14ac:dyDescent="0.2">
      <c r="A24" s="33"/>
      <c r="B24" t="s">
        <v>97</v>
      </c>
      <c r="C24" t="s">
        <v>98</v>
      </c>
      <c r="D24" t="s">
        <v>22</v>
      </c>
      <c r="E24" t="s">
        <v>95</v>
      </c>
      <c r="F24" s="19"/>
      <c r="G24" s="20">
        <v>0</v>
      </c>
      <c r="H24" s="20"/>
      <c r="I24" s="20">
        <v>0</v>
      </c>
      <c r="J24" s="20"/>
      <c r="K24" s="21"/>
      <c r="L24" s="22"/>
      <c r="M24" s="23"/>
      <c r="N24" s="22"/>
      <c r="O24" s="22"/>
      <c r="P24" s="22"/>
      <c r="Q24" s="22"/>
      <c r="R24" s="24" t="e">
        <v>#DIV/0!</v>
      </c>
      <c r="S24" s="24" t="e">
        <v>#DIV/0!</v>
      </c>
      <c r="T24" s="24" t="e">
        <v>#DIV/0!</v>
      </c>
      <c r="U24" s="24" t="e">
        <v>#DIV/0!</v>
      </c>
      <c r="V24" s="22"/>
      <c r="W24" s="24" t="e">
        <v>#DIV/0!</v>
      </c>
      <c r="X24" s="23"/>
      <c r="Y24" s="22"/>
      <c r="Z24" s="18"/>
      <c r="AA24" s="26" t="s">
        <v>99</v>
      </c>
    </row>
    <row r="25" spans="1:27" x14ac:dyDescent="0.2">
      <c r="A25" s="30" t="s">
        <v>122</v>
      </c>
      <c r="B25" s="1" t="s">
        <v>100</v>
      </c>
      <c r="C25" s="25" t="s">
        <v>101</v>
      </c>
      <c r="D25" t="s">
        <v>22</v>
      </c>
      <c r="E25" t="s">
        <v>102</v>
      </c>
      <c r="F25" s="19">
        <v>137.46</v>
      </c>
      <c r="G25" s="20">
        <v>111678.11910354</v>
      </c>
      <c r="H25" s="20">
        <v>4639</v>
      </c>
      <c r="I25" s="20">
        <v>107039.11910354</v>
      </c>
      <c r="J25" s="20">
        <v>812.44084899999996</v>
      </c>
      <c r="K25" s="21">
        <v>45768</v>
      </c>
      <c r="L25" s="22" t="s">
        <v>39</v>
      </c>
      <c r="M25" s="23">
        <v>0.02</v>
      </c>
      <c r="N25" s="20">
        <v>6343</v>
      </c>
      <c r="O25" s="20">
        <v>7177</v>
      </c>
      <c r="P25" s="22"/>
      <c r="Q25" s="22"/>
      <c r="R25" s="24">
        <v>16.875156724505754</v>
      </c>
      <c r="S25" s="24">
        <v>14.914186861298592</v>
      </c>
      <c r="T25" s="24" t="e">
        <v>#DIV/0!</v>
      </c>
      <c r="U25" s="24" t="e">
        <v>#DIV/0!</v>
      </c>
      <c r="V25" s="20">
        <v>5935</v>
      </c>
      <c r="W25" s="24">
        <v>18.035234895288962</v>
      </c>
      <c r="X25" s="23">
        <v>0.34</v>
      </c>
      <c r="Y25" s="22">
        <v>1967</v>
      </c>
      <c r="Z25" s="18" t="s">
        <v>35</v>
      </c>
      <c r="AA25" s="26" t="s">
        <v>103</v>
      </c>
    </row>
  </sheetData>
  <hyperlinks>
    <hyperlink ref="C5" r:id="rId1" xr:uid="{51AA6558-96EA-44BE-BD54-9B641458D5E7}"/>
    <hyperlink ref="B5" r:id="rId2" xr:uid="{7C699826-79E8-46AD-9021-D40ABCFAD7B2}"/>
    <hyperlink ref="AA5" r:id="rId3" xr:uid="{809C1F32-4A92-4776-B5B8-DD0BA36BCA1A}"/>
    <hyperlink ref="C6" r:id="rId4" xr:uid="{D544FCD5-E308-4839-BD67-9B1B376A601B}"/>
    <hyperlink ref="B6" r:id="rId5" xr:uid="{C39277A5-84B7-4277-8E0C-DF81812B11CC}"/>
    <hyperlink ref="AA6" r:id="rId6" xr:uid="{6690A8AA-1F78-4338-8119-B33FBCD7CE60}"/>
    <hyperlink ref="C7" r:id="rId7" xr:uid="{B2A79A77-F598-4EA6-8E0C-48D32BB53B76}"/>
    <hyperlink ref="AA7" r:id="rId8" xr:uid="{443C4F05-AC3C-4DE6-BEAD-906B1289F0C7}"/>
    <hyperlink ref="C11" r:id="rId9" xr:uid="{04F6C5E0-FD6E-46C3-BAE7-04B5F40EF071}"/>
    <hyperlink ref="AA11" r:id="rId10" xr:uid="{5AF6EF72-22DD-4D0B-A5C5-167A5667BB17}"/>
    <hyperlink ref="AA16" r:id="rId11" xr:uid="{72394AB3-B439-4A15-ABB3-435E091A2E06}"/>
    <hyperlink ref="C19" r:id="rId12" xr:uid="{CB816A4F-AB32-42E6-A937-0D7F3C2C425C}"/>
    <hyperlink ref="AA19" r:id="rId13" xr:uid="{4A60DEE5-B63F-4202-8941-19D7AF51FE49}"/>
    <hyperlink ref="C20" r:id="rId14" xr:uid="{20943340-0450-483F-8534-830773D8450D}"/>
    <hyperlink ref="AA20" r:id="rId15" xr:uid="{980846F3-211A-4077-8CD8-3B535EB46020}"/>
    <hyperlink ref="C21" r:id="rId16" xr:uid="{B93B36AD-D4DD-4A97-890F-36778B993441}"/>
    <hyperlink ref="AA21" r:id="rId17" xr:uid="{B60E533D-40B4-43B3-AA02-CA468770E4A1}"/>
    <hyperlink ref="AA23" r:id="rId18" xr:uid="{9FE291CF-C59E-4D25-8C23-73476E32F618}"/>
    <hyperlink ref="AA24" r:id="rId19" xr:uid="{914F4CA3-4434-4DA8-B0C1-26DE3994758F}"/>
    <hyperlink ref="AA25" r:id="rId20" xr:uid="{B17F73BD-B227-4BD3-AA0A-4F222F30C3D7}"/>
    <hyperlink ref="C25" r:id="rId21" xr:uid="{54022A81-112E-416B-AB95-77DD0415470D}"/>
    <hyperlink ref="B25" r:id="rId22" xr:uid="{FE0156F5-FE26-48E9-AE2B-3AD5E62B7579}"/>
    <hyperlink ref="B8" r:id="rId23" xr:uid="{81495D6D-82BB-4C14-9C09-B58338512021}"/>
    <hyperlink ref="AA8" r:id="rId24" xr:uid="{560745F0-6C11-4746-AC43-AC847A29BDEB}"/>
    <hyperlink ref="C8" r:id="rId25" xr:uid="{52F1139D-46CB-4C99-AC33-1042F4012E1C}"/>
    <hyperlink ref="AA10" r:id="rId26" xr:uid="{C2AE1B5F-7B07-49B0-8A40-FFBEE092CB30}"/>
    <hyperlink ref="B10" r:id="rId27" xr:uid="{E970263E-1652-492E-B418-7BCCFD2C1D71}"/>
    <hyperlink ref="C10" r:id="rId28" xr:uid="{B3DB1D15-06A2-46C5-9B76-968141C74718}"/>
    <hyperlink ref="B11" r:id="rId29" xr:uid="{B5F1D66C-3D56-4959-A831-FA30B6A7B434}"/>
    <hyperlink ref="B12" r:id="rId30" xr:uid="{8A04326A-FF3E-4D64-A21A-027D3AC38E08}"/>
    <hyperlink ref="AA12" r:id="rId31" xr:uid="{E1E115E4-C35B-4DFE-AF51-9A0F94C148A4}"/>
    <hyperlink ref="C12" r:id="rId32" xr:uid="{46163E9D-4E66-4DFD-8CF5-4633C2076845}"/>
    <hyperlink ref="B13" r:id="rId33" xr:uid="{4B084B44-BD1B-4795-B5E8-C2B58373177B}"/>
    <hyperlink ref="AA13" r:id="rId34" xr:uid="{44333983-F3A9-4D6A-A723-53DC0CA35674}"/>
    <hyperlink ref="C13" r:id="rId35" xr:uid="{BDC8A7B9-BC5B-4146-BB0D-B7F9EBF5665C}"/>
    <hyperlink ref="C14" r:id="rId36" xr:uid="{EB28F8E5-0CEB-498A-B8DE-E4465FAFDF83}"/>
    <hyperlink ref="B14" r:id="rId37" xr:uid="{F7B6A90C-2DD8-4635-83AC-48738516443F}"/>
    <hyperlink ref="AA14" r:id="rId38" xr:uid="{4BE2CA4D-8B93-46A8-9875-270259902EF2}"/>
    <hyperlink ref="C17" r:id="rId39" xr:uid="{1B3CEEE4-1375-40B9-BEEA-48D84E47B8CE}"/>
    <hyperlink ref="AA17" r:id="rId40" xr:uid="{6AB6EB46-1E32-46AF-9679-0342192E56CE}"/>
    <hyperlink ref="C22" r:id="rId41" xr:uid="{A754FA8A-360B-4137-AAA9-685855870C2E}"/>
    <hyperlink ref="AA22" r:id="rId42" xr:uid="{8AD33346-EB4D-4AC9-AAEE-79B5F780246B}"/>
    <hyperlink ref="B22" r:id="rId43" xr:uid="{D203F469-093C-43AF-B35D-BDD8E7A533B2}"/>
    <hyperlink ref="B19" r:id="rId44" xr:uid="{7D5B4E3D-94BE-468A-B451-46887ADA671B}"/>
    <hyperlink ref="B17" r:id="rId45" xr:uid="{2667FA5D-7217-483D-8611-D233A968D0DA}"/>
    <hyperlink ref="B7" r:id="rId46" xr:uid="{D195C0FA-AC8D-43D4-9109-88A5421119DE}"/>
    <hyperlink ref="C9" r:id="rId47" xr:uid="{DF3DB2CB-1AF5-47CD-B5C8-FDA93DA14975}"/>
    <hyperlink ref="B9" r:id="rId48" xr:uid="{A1E9019D-7C0D-478C-BC65-EF47F2980C6A}"/>
    <hyperlink ref="AA9" r:id="rId49" xr:uid="{67229B4B-DA3E-4931-A0E9-3FE3692BAF81}"/>
    <hyperlink ref="AA18" r:id="rId50" xr:uid="{D92D71DA-5315-47BC-84D5-E27FBE721C6C}"/>
    <hyperlink ref="B18" r:id="rId51" xr:uid="{99EEBB5F-EF07-4991-982A-B7A3717CB821}"/>
    <hyperlink ref="C18" r:id="rId52" xr:uid="{44C91B1C-A8A2-4C4B-BBBC-1650484C80ED}"/>
    <hyperlink ref="B15" r:id="rId53" xr:uid="{FE540D2C-A929-4C4D-B79C-27D8BA1BDB17}"/>
    <hyperlink ref="AA15" r:id="rId54" xr:uid="{9C3A6EE3-60B9-4C43-AB1C-AC9358D7DC2A}"/>
    <hyperlink ref="C15" r:id="rId55" xr:uid="{959D6B1D-EAEC-440C-91B4-E679774308EA}"/>
    <hyperlink ref="C3" r:id="rId56" xr:uid="{43D45418-B8E3-40E2-94E6-0691CCF53B2F}"/>
    <hyperlink ref="B3" r:id="rId57" xr:uid="{C5779424-C13D-48E1-BD00-C4475E718CD3}"/>
    <hyperlink ref="AA3" r:id="rId58" xr:uid="{0A7CEE08-0B59-48F8-A4CB-EA2CFA78FE27}"/>
    <hyperlink ref="C4" r:id="rId59" xr:uid="{7A270A5A-1C1C-4D0A-B52C-2FAAF8B9F7EA}"/>
    <hyperlink ref="B4" r:id="rId60" xr:uid="{1BDB8669-5DCD-43BA-9FE2-049B6A54CAC1}"/>
    <hyperlink ref="AA4" r:id="rId61" xr:uid="{F19775C4-E0FE-45B7-9A9D-05C1EC0E76F2}"/>
  </hyperlinks>
  <pageMargins left="0.7" right="0.7" top="0.75" bottom="0.75" header="0.3" footer="0.3"/>
  <legacy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716F-1DFB-4785-B4B9-F1A0586E2070}">
  <dimension ref="A1:AV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:XFD3"/>
    </sheetView>
  </sheetViews>
  <sheetFormatPr defaultRowHeight="12.75" x14ac:dyDescent="0.2"/>
  <cols>
    <col min="1" max="1" width="5.5703125" bestFit="1" customWidth="1"/>
    <col min="4" max="4" width="20.28515625" bestFit="1" customWidth="1"/>
    <col min="5" max="5" width="29.42578125" bestFit="1" customWidth="1"/>
  </cols>
  <sheetData>
    <row r="1" spans="1:48" x14ac:dyDescent="0.2">
      <c r="A1" s="29" t="s">
        <v>0</v>
      </c>
    </row>
    <row r="2" spans="1:48" s="14" customFormat="1" ht="12.95" customHeight="1" x14ac:dyDescent="0.2">
      <c r="B2" s="2" t="s">
        <v>1</v>
      </c>
      <c r="C2" s="3" t="s">
        <v>2</v>
      </c>
      <c r="D2" s="3" t="s">
        <v>3</v>
      </c>
      <c r="E2" s="2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 t="s">
        <v>11</v>
      </c>
      <c r="M2" s="8" t="s">
        <v>112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">
      <c r="A3" s="30" t="s">
        <v>122</v>
      </c>
      <c r="B3" s="1" t="s">
        <v>20</v>
      </c>
      <c r="C3" s="1" t="s">
        <v>21</v>
      </c>
      <c r="D3" t="s">
        <v>22</v>
      </c>
      <c r="E3" s="18" t="s">
        <v>23</v>
      </c>
      <c r="F3" s="19">
        <v>205.35</v>
      </c>
      <c r="G3" s="20">
        <f t="shared" ref="G3" si="0">+F3*J3</f>
        <v>3091776.9115499998</v>
      </c>
      <c r="H3" s="20">
        <f>+[11]Main!$I$6-[11]Main!$I$7</f>
        <v>34736</v>
      </c>
      <c r="I3" s="20">
        <f t="shared" ref="I3" si="1">+G3-H3</f>
        <v>3057040.9115499998</v>
      </c>
      <c r="J3" s="20">
        <f>+[11]Main!$I$4</f>
        <v>15056.133</v>
      </c>
      <c r="K3" s="21">
        <v>45780</v>
      </c>
      <c r="L3" s="22" t="s">
        <v>111</v>
      </c>
      <c r="M3" s="23">
        <v>0.02</v>
      </c>
      <c r="N3" s="20">
        <f>+SUM([11]Model!$M$41:$P$41)</f>
        <v>97294</v>
      </c>
      <c r="O3" s="20">
        <f>+[12]Model!$AB$44</f>
        <v>93736</v>
      </c>
      <c r="P3" s="22"/>
      <c r="Q3" s="22"/>
      <c r="R3" s="24">
        <f t="shared" ref="R3:U3" si="2">+$I3/N3</f>
        <v>31.420651957469111</v>
      </c>
      <c r="S3" s="24">
        <f t="shared" si="2"/>
        <v>32.613306643658788</v>
      </c>
      <c r="T3" s="24" t="e">
        <f t="shared" si="2"/>
        <v>#DIV/0!</v>
      </c>
      <c r="U3" s="24" t="e">
        <f t="shared" si="2"/>
        <v>#DIV/0!</v>
      </c>
      <c r="V3" s="20">
        <f>+SUM([11]Model!$M$101:$P$101)</f>
        <v>98486</v>
      </c>
      <c r="W3" s="24">
        <f>+$I3/V3</f>
        <v>31.040360168450338</v>
      </c>
      <c r="X3" s="23">
        <v>0.49</v>
      </c>
      <c r="Y3" s="22">
        <v>1976</v>
      </c>
      <c r="Z3" s="18" t="s">
        <v>24</v>
      </c>
      <c r="AA3" s="25" t="s">
        <v>25</v>
      </c>
    </row>
  </sheetData>
  <hyperlinks>
    <hyperlink ref="A1" location="'Information Technology &gt;=100B'!A1" display="Main" xr:uid="{84D13D18-B805-4151-8B7E-CB03743A9A46}"/>
    <hyperlink ref="C3" r:id="rId1" xr:uid="{3128EA09-65E3-4D08-86A9-E5F016DF2D8C}"/>
    <hyperlink ref="B3" r:id="rId2" xr:uid="{966A414E-7FB6-49BF-8133-1D30E32DB09F}"/>
    <hyperlink ref="AA3" r:id="rId3" xr:uid="{1866C066-572B-491D-85F3-9A6921C486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E392-9353-4974-9207-E62A954462E1}">
  <dimension ref="A1:AV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3" sqref="E23"/>
    </sheetView>
  </sheetViews>
  <sheetFormatPr defaultRowHeight="12.75" x14ac:dyDescent="0.2"/>
  <cols>
    <col min="1" max="1" width="6.140625" bestFit="1" customWidth="1"/>
    <col min="3" max="3" width="8.5703125" bestFit="1" customWidth="1"/>
    <col min="4" max="4" width="20.28515625" bestFit="1" customWidth="1"/>
    <col min="5" max="5" width="16.28515625" bestFit="1" customWidth="1"/>
  </cols>
  <sheetData>
    <row r="1" spans="1:48" x14ac:dyDescent="0.2">
      <c r="A1" s="29" t="s">
        <v>0</v>
      </c>
    </row>
    <row r="2" spans="1:48" s="14" customFormat="1" ht="12.95" customHeight="1" x14ac:dyDescent="0.2">
      <c r="A2" s="29"/>
      <c r="B2" s="2" t="s">
        <v>1</v>
      </c>
      <c r="C2" s="3" t="s">
        <v>2</v>
      </c>
      <c r="D2" s="3" t="s">
        <v>3</v>
      </c>
      <c r="E2" s="2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 t="s">
        <v>11</v>
      </c>
      <c r="M2" s="8" t="s">
        <v>112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">
      <c r="A3" s="30" t="s">
        <v>122</v>
      </c>
      <c r="B3" s="1" t="s">
        <v>26</v>
      </c>
      <c r="C3" s="1" t="s">
        <v>27</v>
      </c>
      <c r="D3" t="s">
        <v>22</v>
      </c>
      <c r="E3" t="s">
        <v>28</v>
      </c>
      <c r="F3" s="19">
        <v>422.66</v>
      </c>
      <c r="G3" s="20">
        <f t="shared" ref="G3" si="0">+F3*J3</f>
        <v>3153466.2600000002</v>
      </c>
      <c r="H3" s="20">
        <f>+[13]Main!$K$5-[13]Main!$K$6</f>
        <v>52772</v>
      </c>
      <c r="I3" s="20">
        <f t="shared" ref="I3" si="1">+G3-H3</f>
        <v>3100694.2600000002</v>
      </c>
      <c r="J3" s="20">
        <f>+[13]Main!$K$3</f>
        <v>7461</v>
      </c>
      <c r="K3" s="21">
        <v>45778</v>
      </c>
      <c r="L3" s="22" t="s">
        <v>104</v>
      </c>
      <c r="M3" s="23">
        <v>0.16</v>
      </c>
      <c r="N3" s="20">
        <f>+SUM([13]Model!$N$27:$Q$27)</f>
        <v>94649</v>
      </c>
      <c r="O3" s="20">
        <f>+[14]Model!$AD$27</f>
        <v>88136</v>
      </c>
      <c r="P3" s="22"/>
      <c r="Q3" s="22"/>
      <c r="R3" s="24">
        <f t="shared" ref="R3:U3" si="2">+$I3/N3</f>
        <v>32.759926253843147</v>
      </c>
      <c r="S3" s="24">
        <f t="shared" si="2"/>
        <v>35.180791730961246</v>
      </c>
      <c r="T3" s="24" t="e">
        <f t="shared" si="2"/>
        <v>#DIV/0!</v>
      </c>
      <c r="U3" s="24" t="e">
        <f t="shared" si="2"/>
        <v>#DIV/0!</v>
      </c>
      <c r="V3" s="20">
        <f>+[13]Model!$Q$104</f>
        <v>69365</v>
      </c>
      <c r="W3" s="24">
        <f t="shared" ref="W3" si="3">+$I3/V3</f>
        <v>44.701135442946736</v>
      </c>
      <c r="X3" s="23">
        <v>0.28999999999999998</v>
      </c>
      <c r="Y3" s="22">
        <v>1975</v>
      </c>
      <c r="Z3" s="18" t="s">
        <v>29</v>
      </c>
      <c r="AA3" s="26" t="s">
        <v>30</v>
      </c>
    </row>
  </sheetData>
  <hyperlinks>
    <hyperlink ref="A1" location="'Information Technology &gt;=100B'!A1" display="Main" xr:uid="{008C6D27-43B5-48FD-BABC-93D09CC68569}"/>
    <hyperlink ref="C3" r:id="rId1" xr:uid="{479D33F1-0018-4D32-9B24-7F2DC55363D7}"/>
    <hyperlink ref="B3" r:id="rId2" xr:uid="{67A6FF2F-EB74-4711-8742-25C5DBB9F49B}"/>
    <hyperlink ref="AA3" r:id="rId3" xr:uid="{7F6E606B-6D69-4FA5-9D6F-81EC41E475F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79D7-DA5F-4C6C-9949-FD665AEBC072}">
  <dimension ref="A1:AV8"/>
  <sheetViews>
    <sheetView workbookViewId="0">
      <selection activeCell="C24" sqref="C24"/>
    </sheetView>
  </sheetViews>
  <sheetFormatPr defaultRowHeight="12.75" x14ac:dyDescent="0.2"/>
  <cols>
    <col min="1" max="1" width="6.5703125" bestFit="1" customWidth="1"/>
    <col min="3" max="3" width="32.5703125" bestFit="1" customWidth="1"/>
    <col min="4" max="4" width="20.28515625" bestFit="1" customWidth="1"/>
    <col min="5" max="5" width="14.5703125" bestFit="1" customWidth="1"/>
  </cols>
  <sheetData>
    <row r="1" spans="1:48" x14ac:dyDescent="0.2">
      <c r="A1" s="29" t="s">
        <v>0</v>
      </c>
    </row>
    <row r="2" spans="1:48" s="14" customFormat="1" ht="12.95" customHeight="1" x14ac:dyDescent="0.2">
      <c r="A2" s="29"/>
      <c r="B2" s="2" t="s">
        <v>1</v>
      </c>
      <c r="C2" s="3" t="s">
        <v>2</v>
      </c>
      <c r="D2" s="3" t="s">
        <v>3</v>
      </c>
      <c r="E2" s="2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 t="s">
        <v>11</v>
      </c>
      <c r="M2" s="8" t="s">
        <v>112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">
      <c r="A3" s="17">
        <v>45805</v>
      </c>
      <c r="B3" s="1" t="s">
        <v>31</v>
      </c>
      <c r="C3" s="1" t="s">
        <v>32</v>
      </c>
      <c r="D3" t="s">
        <v>22</v>
      </c>
      <c r="E3" t="s">
        <v>33</v>
      </c>
      <c r="F3" s="19">
        <v>103.23</v>
      </c>
      <c r="G3" s="20">
        <v>2518812</v>
      </c>
      <c r="H3" s="20">
        <v>34747</v>
      </c>
      <c r="I3" s="20">
        <v>2484065</v>
      </c>
      <c r="J3" s="20">
        <v>24400</v>
      </c>
      <c r="K3" s="21">
        <v>45763</v>
      </c>
      <c r="L3" s="22" t="s">
        <v>34</v>
      </c>
      <c r="M3" s="23">
        <v>1.1399999999999999</v>
      </c>
      <c r="N3" s="20">
        <v>71846</v>
      </c>
      <c r="O3" s="20">
        <v>71846</v>
      </c>
      <c r="P3" s="22"/>
      <c r="Q3" s="22"/>
      <c r="R3" s="24">
        <v>34.574854550009746</v>
      </c>
      <c r="S3" s="24">
        <v>34.574854550009746</v>
      </c>
      <c r="T3" s="24" t="e">
        <v>#DIV/0!</v>
      </c>
      <c r="U3" s="24" t="e">
        <v>#DIV/0!</v>
      </c>
      <c r="V3" s="22"/>
      <c r="W3" s="24" t="e">
        <v>#DIV/0!</v>
      </c>
      <c r="X3" s="23"/>
      <c r="Y3" s="22">
        <v>1993</v>
      </c>
      <c r="Z3" s="18" t="s">
        <v>35</v>
      </c>
      <c r="AA3" s="26" t="s">
        <v>36</v>
      </c>
    </row>
    <row r="4" spans="1:48" x14ac:dyDescent="0.2">
      <c r="A4" s="17">
        <v>45819</v>
      </c>
      <c r="B4" s="1" t="s">
        <v>37</v>
      </c>
      <c r="C4" s="1" t="s">
        <v>38</v>
      </c>
      <c r="D4" t="s">
        <v>22</v>
      </c>
      <c r="E4" t="s">
        <v>33</v>
      </c>
      <c r="F4" s="19">
        <v>171</v>
      </c>
      <c r="G4" s="20">
        <v>804033.23060700006</v>
      </c>
      <c r="H4" s="20">
        <v>-57272</v>
      </c>
      <c r="I4" s="20">
        <v>861305.23060700006</v>
      </c>
      <c r="J4" s="20">
        <v>4701.9487170000002</v>
      </c>
      <c r="K4" s="21">
        <v>45764</v>
      </c>
      <c r="L4" s="22" t="s">
        <v>39</v>
      </c>
      <c r="M4" s="23">
        <v>0.44</v>
      </c>
      <c r="N4" s="20">
        <v>14121</v>
      </c>
      <c r="O4" s="20">
        <v>10539</v>
      </c>
      <c r="P4" s="22"/>
      <c r="Q4" s="22"/>
      <c r="R4" s="24">
        <v>60.994634275688696</v>
      </c>
      <c r="S4" s="24">
        <v>81.725517658886048</v>
      </c>
      <c r="T4" s="24" t="e">
        <v>#DIV/0!</v>
      </c>
      <c r="U4" s="24" t="e">
        <v>#DIV/0!</v>
      </c>
      <c r="V4" s="20">
        <v>20724</v>
      </c>
      <c r="W4" s="24">
        <v>41.560761947838259</v>
      </c>
      <c r="X4" s="23">
        <v>0.72</v>
      </c>
      <c r="Y4" s="22">
        <v>1991</v>
      </c>
      <c r="Z4" s="18" t="s">
        <v>40</v>
      </c>
      <c r="AA4" s="26" t="s">
        <v>41</v>
      </c>
    </row>
    <row r="5" spans="1:48" x14ac:dyDescent="0.2">
      <c r="A5" s="27" t="s">
        <v>42</v>
      </c>
      <c r="B5" s="1" t="s">
        <v>43</v>
      </c>
      <c r="C5" s="1" t="s">
        <v>44</v>
      </c>
      <c r="D5" t="s">
        <v>22</v>
      </c>
      <c r="E5" t="s">
        <v>33</v>
      </c>
      <c r="F5" s="19">
        <v>151</v>
      </c>
      <c r="G5" s="20">
        <v>783055.8</v>
      </c>
      <c r="H5" s="20">
        <v>55830</v>
      </c>
      <c r="I5" s="20">
        <v>727225.8</v>
      </c>
      <c r="J5" s="20">
        <v>5185.8</v>
      </c>
      <c r="K5" s="21">
        <v>45764</v>
      </c>
      <c r="L5" s="22" t="s">
        <v>39</v>
      </c>
      <c r="M5" s="23">
        <v>0.3</v>
      </c>
      <c r="N5" s="20">
        <v>39919.85</v>
      </c>
      <c r="O5" s="20">
        <v>36140.74</v>
      </c>
      <c r="P5" s="20">
        <v>42438.739199999996</v>
      </c>
      <c r="Q5" s="20">
        <v>49664.368188119966</v>
      </c>
      <c r="R5" s="24">
        <v>18.217147609522584</v>
      </c>
      <c r="S5" s="24">
        <v>20.122050627629651</v>
      </c>
      <c r="T5" s="24">
        <v>17.135895498045336</v>
      </c>
      <c r="U5" s="24">
        <v>14.642807842544086</v>
      </c>
      <c r="V5" s="20">
        <v>26331</v>
      </c>
      <c r="W5" s="24">
        <v>27.618616839466789</v>
      </c>
      <c r="X5" s="23">
        <v>0.28999999999999998</v>
      </c>
      <c r="Y5" s="22">
        <v>1987</v>
      </c>
      <c r="Z5" s="18" t="s">
        <v>45</v>
      </c>
      <c r="AA5" s="26" t="s">
        <v>46</v>
      </c>
    </row>
    <row r="6" spans="1:48" x14ac:dyDescent="0.2">
      <c r="A6" s="17">
        <v>45783</v>
      </c>
      <c r="B6" s="1" t="s">
        <v>81</v>
      </c>
      <c r="C6" s="1" t="s">
        <v>82</v>
      </c>
      <c r="D6" t="s">
        <v>22</v>
      </c>
      <c r="E6" t="s">
        <v>33</v>
      </c>
      <c r="F6" s="19"/>
      <c r="G6" s="20">
        <v>0</v>
      </c>
      <c r="H6" s="20"/>
      <c r="I6" s="20">
        <v>0</v>
      </c>
      <c r="J6" s="20"/>
      <c r="K6" s="21"/>
      <c r="L6" s="22"/>
      <c r="M6" s="23"/>
      <c r="N6" s="22"/>
      <c r="O6" s="22"/>
      <c r="P6" s="22"/>
      <c r="Q6" s="22"/>
      <c r="R6" s="24" t="e">
        <v>#DIV/0!</v>
      </c>
      <c r="S6" s="24" t="e">
        <v>#DIV/0!</v>
      </c>
      <c r="T6" s="24" t="e">
        <v>#DIV/0!</v>
      </c>
      <c r="U6" s="24" t="e">
        <v>#DIV/0!</v>
      </c>
      <c r="V6" s="22"/>
      <c r="W6" s="24" t="e">
        <v>#DIV/0!</v>
      </c>
      <c r="X6" s="23"/>
      <c r="Y6" s="22"/>
      <c r="Z6" s="18"/>
      <c r="AA6" s="26" t="s">
        <v>83</v>
      </c>
    </row>
    <row r="7" spans="1:48" x14ac:dyDescent="0.2">
      <c r="A7" s="17">
        <v>45777</v>
      </c>
      <c r="B7" t="s">
        <v>84</v>
      </c>
      <c r="C7" s="1" t="s">
        <v>85</v>
      </c>
      <c r="D7" t="s">
        <v>22</v>
      </c>
      <c r="E7" t="s">
        <v>33</v>
      </c>
      <c r="F7" s="19"/>
      <c r="G7" s="20">
        <v>0</v>
      </c>
      <c r="H7" s="20"/>
      <c r="I7" s="20">
        <v>0</v>
      </c>
      <c r="J7" s="20"/>
      <c r="K7" s="21"/>
      <c r="L7" s="22"/>
      <c r="M7" s="23"/>
      <c r="N7" s="22"/>
      <c r="O7" s="22"/>
      <c r="P7" s="22"/>
      <c r="Q7" s="22"/>
      <c r="R7" s="24" t="e">
        <v>#DIV/0!</v>
      </c>
      <c r="S7" s="24" t="e">
        <v>#DIV/0!</v>
      </c>
      <c r="T7" s="24" t="e">
        <v>#DIV/0!</v>
      </c>
      <c r="U7" s="24" t="e">
        <v>#DIV/0!</v>
      </c>
      <c r="V7" s="22"/>
      <c r="W7" s="24" t="e">
        <v>#DIV/0!</v>
      </c>
      <c r="X7" s="23"/>
      <c r="Y7" s="22"/>
      <c r="Z7" s="18"/>
      <c r="AA7" s="26" t="s">
        <v>86</v>
      </c>
    </row>
    <row r="8" spans="1:48" x14ac:dyDescent="0.2">
      <c r="A8" s="27" t="s">
        <v>42</v>
      </c>
      <c r="B8" s="1" t="s">
        <v>90</v>
      </c>
      <c r="C8" s="1" t="s">
        <v>91</v>
      </c>
      <c r="D8" t="s">
        <v>22</v>
      </c>
      <c r="E8" t="s">
        <v>33</v>
      </c>
      <c r="F8" s="19">
        <v>152</v>
      </c>
      <c r="G8" s="20">
        <v>138320</v>
      </c>
      <c r="H8" s="20">
        <v>-7843</v>
      </c>
      <c r="I8" s="20">
        <v>146163</v>
      </c>
      <c r="J8" s="20">
        <v>910</v>
      </c>
      <c r="K8" s="21">
        <v>45771</v>
      </c>
      <c r="L8" s="22" t="s">
        <v>39</v>
      </c>
      <c r="M8" s="23">
        <v>-0.11</v>
      </c>
      <c r="N8" s="20">
        <v>4442</v>
      </c>
      <c r="O8" s="20">
        <v>4179</v>
      </c>
      <c r="P8" s="22"/>
      <c r="Q8" s="22"/>
      <c r="R8" s="24">
        <v>32.904772624943718</v>
      </c>
      <c r="S8" s="24">
        <v>34.975592246949034</v>
      </c>
      <c r="T8" s="24" t="e">
        <v>#DIV/0!</v>
      </c>
      <c r="U8" s="24" t="e">
        <v>#DIV/0!</v>
      </c>
      <c r="V8" s="20">
        <v>1455</v>
      </c>
      <c r="W8" s="24">
        <v>100.45567010309279</v>
      </c>
      <c r="X8" s="23">
        <v>0.18</v>
      </c>
      <c r="Y8" s="22">
        <v>1930</v>
      </c>
      <c r="Z8" s="18" t="s">
        <v>114</v>
      </c>
      <c r="AA8" s="26" t="s">
        <v>92</v>
      </c>
    </row>
  </sheetData>
  <hyperlinks>
    <hyperlink ref="C3" r:id="rId1" xr:uid="{25F2F699-BA0B-4A7F-BAC9-4B0647AA1B44}"/>
    <hyperlink ref="B3" r:id="rId2" xr:uid="{644C1E22-984C-461D-B373-DBA65237A616}"/>
    <hyperlink ref="AA3" r:id="rId3" xr:uid="{D11F622A-2610-4EF3-B903-56188C029A81}"/>
    <hyperlink ref="C4" r:id="rId4" xr:uid="{F86DC30A-2A18-4257-AA6A-CEC1AF5270CD}"/>
    <hyperlink ref="B4" r:id="rId5" xr:uid="{C3A33520-03EE-4014-B124-9DC2546015BD}"/>
    <hyperlink ref="AA4" r:id="rId6" xr:uid="{64B8BF1D-ED05-43E8-B9DD-31A455E9E780}"/>
    <hyperlink ref="C5" r:id="rId7" xr:uid="{D7F1BAAA-4DF9-4D56-85CA-EE591A2A41C1}"/>
    <hyperlink ref="AA5" r:id="rId8" xr:uid="{D62229F1-BC50-41C9-AB31-493657D96062}"/>
    <hyperlink ref="B5" r:id="rId9" xr:uid="{45208DDB-E8FC-4222-9527-949F486BCD0E}"/>
    <hyperlink ref="C6" r:id="rId10" xr:uid="{7BE02836-195F-4ABB-9594-E5CE7E3ED735}"/>
    <hyperlink ref="AA6" r:id="rId11" xr:uid="{AE3800AB-6093-49C2-AF1B-AC42585E4CD9}"/>
    <hyperlink ref="B6" r:id="rId12" xr:uid="{576B739E-AC99-4A48-878E-74DA833898EA}"/>
    <hyperlink ref="C7" r:id="rId13" xr:uid="{9F2852A0-CCBE-47D8-BFCA-8AE3C91669A7}"/>
    <hyperlink ref="AA7" r:id="rId14" xr:uid="{FC8B94E7-8C2E-4812-A8A2-89D73AE446A5}"/>
    <hyperlink ref="C8" r:id="rId15" xr:uid="{DC82631B-B241-4C30-9C4D-50CAE3C36E3D}"/>
    <hyperlink ref="AA8" r:id="rId16" xr:uid="{00791662-34FB-444B-9CF5-6A855984E3DC}"/>
    <hyperlink ref="B8" r:id="rId17" xr:uid="{A4A65742-AFAB-4856-9E78-C0315E415E2B}"/>
    <hyperlink ref="A1" location="'Information Technology &gt;=100B'!A1" display="Main" xr:uid="{306F72A1-815B-424F-88DB-E0A2D1C2C43E}"/>
  </hyperlinks>
  <pageMargins left="0.7" right="0.7" top="0.75" bottom="0.75" header="0.3" footer="0.3"/>
  <legacy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D8A-9D37-48EF-A2B8-5CFDEC52158D}">
  <dimension ref="A1:AV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30" sqref="J30"/>
    </sheetView>
  </sheetViews>
  <sheetFormatPr defaultRowHeight="12.75" x14ac:dyDescent="0.2"/>
  <cols>
    <col min="1" max="1" width="6" bestFit="1" customWidth="1"/>
    <col min="3" max="3" width="10.5703125" bestFit="1" customWidth="1"/>
    <col min="4" max="4" width="20.28515625" bestFit="1" customWidth="1"/>
    <col min="5" max="5" width="18.140625" bestFit="1" customWidth="1"/>
  </cols>
  <sheetData>
    <row r="1" spans="1:48" x14ac:dyDescent="0.2">
      <c r="A1" s="29" t="s">
        <v>0</v>
      </c>
    </row>
    <row r="2" spans="1:48" s="14" customFormat="1" ht="12.95" customHeight="1" x14ac:dyDescent="0.2">
      <c r="A2" s="29"/>
      <c r="B2" s="2" t="s">
        <v>1</v>
      </c>
      <c r="C2" s="3" t="s">
        <v>2</v>
      </c>
      <c r="D2" s="3" t="s">
        <v>3</v>
      </c>
      <c r="E2" s="2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 t="s">
        <v>11</v>
      </c>
      <c r="M2" s="8" t="s">
        <v>112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">
      <c r="A3" s="17">
        <v>45818</v>
      </c>
      <c r="B3" s="1" t="s">
        <v>47</v>
      </c>
      <c r="C3" s="1" t="s">
        <v>48</v>
      </c>
      <c r="D3" t="s">
        <v>22</v>
      </c>
      <c r="E3" t="s">
        <v>49</v>
      </c>
      <c r="F3" s="19">
        <v>124</v>
      </c>
      <c r="G3" s="20">
        <v>347725.016</v>
      </c>
      <c r="H3" s="20">
        <v>-78453</v>
      </c>
      <c r="I3" s="20">
        <v>426178.016</v>
      </c>
      <c r="J3" s="20">
        <v>2804.2339999999999</v>
      </c>
      <c r="K3" s="21">
        <v>45768</v>
      </c>
      <c r="L3" s="22" t="s">
        <v>104</v>
      </c>
      <c r="M3" s="23">
        <v>0.06</v>
      </c>
      <c r="N3" s="20">
        <v>16139</v>
      </c>
      <c r="O3" s="20">
        <v>14293</v>
      </c>
      <c r="P3" s="22"/>
      <c r="Q3" s="22"/>
      <c r="R3" s="24">
        <v>26.406717640498172</v>
      </c>
      <c r="S3" s="24">
        <v>29.817254320296648</v>
      </c>
      <c r="T3" s="24" t="e">
        <v>#DIV/0!</v>
      </c>
      <c r="U3" s="24" t="e">
        <v>#DIV/0!</v>
      </c>
      <c r="V3" s="20">
        <v>5812</v>
      </c>
      <c r="W3" s="24">
        <v>73.327256710254645</v>
      </c>
      <c r="X3" s="23">
        <v>0.23</v>
      </c>
      <c r="Y3" s="22">
        <v>1977</v>
      </c>
      <c r="Z3" s="18" t="s">
        <v>105</v>
      </c>
      <c r="AA3" s="26" t="s">
        <v>50</v>
      </c>
    </row>
    <row r="4" spans="1:48" x14ac:dyDescent="0.2">
      <c r="A4" s="17">
        <v>45812</v>
      </c>
      <c r="B4" s="1" t="s">
        <v>115</v>
      </c>
      <c r="C4" s="1" t="s">
        <v>116</v>
      </c>
      <c r="D4" t="s">
        <v>22</v>
      </c>
      <c r="E4" t="s">
        <v>49</v>
      </c>
      <c r="F4" s="19">
        <v>261.91000000000003</v>
      </c>
      <c r="G4" s="20">
        <v>255100.34000000003</v>
      </c>
      <c r="H4" s="20">
        <v>10451</v>
      </c>
      <c r="I4" s="20">
        <v>244649.34000000003</v>
      </c>
      <c r="J4" s="20">
        <v>974</v>
      </c>
      <c r="K4" s="21">
        <v>45771</v>
      </c>
      <c r="L4" s="22" t="s">
        <v>117</v>
      </c>
      <c r="M4" s="23">
        <v>0.09</v>
      </c>
      <c r="N4" s="20">
        <v>6779</v>
      </c>
      <c r="O4" s="20">
        <v>6779</v>
      </c>
      <c r="P4" s="22"/>
      <c r="Q4" s="22"/>
      <c r="R4" s="24">
        <v>36.089296356394755</v>
      </c>
      <c r="S4" s="24">
        <v>36.089296356394755</v>
      </c>
      <c r="T4" s="24" t="e">
        <v>#DIV/0!</v>
      </c>
      <c r="U4" s="24" t="e">
        <v>#DIV/0!</v>
      </c>
      <c r="V4" s="20">
        <v>12434</v>
      </c>
      <c r="W4" s="24">
        <v>19.675835612031527</v>
      </c>
      <c r="X4" s="23"/>
      <c r="Y4" s="22">
        <v>1999</v>
      </c>
      <c r="Z4" s="18" t="s">
        <v>118</v>
      </c>
      <c r="AA4" s="26" t="s">
        <v>119</v>
      </c>
    </row>
    <row r="5" spans="1:48" x14ac:dyDescent="0.2">
      <c r="A5" s="17"/>
      <c r="B5" s="1" t="s">
        <v>51</v>
      </c>
      <c r="C5" s="1" t="s">
        <v>52</v>
      </c>
      <c r="D5" t="s">
        <v>22</v>
      </c>
      <c r="E5" t="s">
        <v>49</v>
      </c>
      <c r="F5" s="19">
        <v>216.75</v>
      </c>
      <c r="G5" s="20">
        <v>252947.25</v>
      </c>
      <c r="H5" s="20">
        <v>-2009</v>
      </c>
      <c r="I5" s="20">
        <v>254956.25</v>
      </c>
      <c r="J5" s="20">
        <v>1167</v>
      </c>
      <c r="K5" s="21">
        <v>45769</v>
      </c>
      <c r="L5" s="22" t="s">
        <v>108</v>
      </c>
      <c r="M5" s="23">
        <v>0.1</v>
      </c>
      <c r="N5" s="20">
        <v>6678</v>
      </c>
      <c r="O5" s="20">
        <v>0</v>
      </c>
      <c r="P5" s="22"/>
      <c r="Q5" s="22"/>
      <c r="R5" s="24">
        <v>38.178533992213239</v>
      </c>
      <c r="S5" s="24" t="e">
        <v>#DIV/0!</v>
      </c>
      <c r="T5" s="24" t="e">
        <v>#DIV/0!</v>
      </c>
      <c r="U5" s="24" t="e">
        <v>#DIV/0!</v>
      </c>
      <c r="V5" s="20">
        <v>4545</v>
      </c>
      <c r="W5" s="24">
        <v>56.095984598459843</v>
      </c>
      <c r="X5" s="23">
        <v>0.31</v>
      </c>
      <c r="Y5" s="22">
        <v>1972</v>
      </c>
      <c r="Z5" s="18" t="s">
        <v>109</v>
      </c>
      <c r="AA5" s="26" t="s">
        <v>53</v>
      </c>
    </row>
    <row r="6" spans="1:48" x14ac:dyDescent="0.2">
      <c r="A6" s="27" t="s">
        <v>42</v>
      </c>
      <c r="B6" s="1" t="s">
        <v>75</v>
      </c>
      <c r="C6" s="1" t="s">
        <v>76</v>
      </c>
      <c r="D6" t="s">
        <v>22</v>
      </c>
      <c r="E6" t="s">
        <v>49</v>
      </c>
      <c r="F6" s="19">
        <v>813</v>
      </c>
      <c r="G6" s="20">
        <v>169917</v>
      </c>
      <c r="H6" s="20">
        <v>9442</v>
      </c>
      <c r="I6" s="20">
        <v>160475</v>
      </c>
      <c r="J6" s="20">
        <v>209</v>
      </c>
      <c r="K6" s="21">
        <v>45771</v>
      </c>
      <c r="L6" s="22" t="s">
        <v>39</v>
      </c>
      <c r="M6" s="23">
        <v>0.22</v>
      </c>
      <c r="N6" s="20">
        <v>1586</v>
      </c>
      <c r="O6" s="20">
        <v>1470</v>
      </c>
      <c r="P6" s="20">
        <v>1269.6639999999995</v>
      </c>
      <c r="Q6" s="20">
        <v>1523.7175359999997</v>
      </c>
      <c r="R6" s="24">
        <v>101.18221941992434</v>
      </c>
      <c r="S6" s="24">
        <v>109.16666666666667</v>
      </c>
      <c r="T6" s="24">
        <v>126.39170678226685</v>
      </c>
      <c r="U6" s="24">
        <v>105.31807648632328</v>
      </c>
      <c r="V6" s="20">
        <v>3681</v>
      </c>
      <c r="W6" s="24">
        <v>43.595490355881552</v>
      </c>
      <c r="X6" s="23"/>
      <c r="Y6" s="22">
        <v>2003</v>
      </c>
      <c r="Z6" s="18" t="s">
        <v>35</v>
      </c>
      <c r="AA6" s="26" t="s">
        <v>77</v>
      </c>
    </row>
    <row r="7" spans="1:48" x14ac:dyDescent="0.2">
      <c r="A7" s="27" t="s">
        <v>42</v>
      </c>
      <c r="B7" s="1" t="s">
        <v>78</v>
      </c>
      <c r="C7" s="1" t="s">
        <v>79</v>
      </c>
      <c r="D7" t="s">
        <v>22</v>
      </c>
      <c r="E7" t="s">
        <v>49</v>
      </c>
      <c r="F7" s="19">
        <v>624.6</v>
      </c>
      <c r="G7" s="20">
        <v>174614.42520000003</v>
      </c>
      <c r="H7" s="20">
        <v>-2337</v>
      </c>
      <c r="I7" s="20">
        <v>176951.42520000003</v>
      </c>
      <c r="J7" s="20">
        <v>279.56200000000001</v>
      </c>
      <c r="K7" s="21">
        <v>45772</v>
      </c>
      <c r="L7" s="22" t="s">
        <v>111</v>
      </c>
      <c r="M7" s="23">
        <v>0.13</v>
      </c>
      <c r="N7" s="20">
        <v>3902</v>
      </c>
      <c r="O7" s="20">
        <v>3815</v>
      </c>
      <c r="P7" s="22"/>
      <c r="Q7" s="22"/>
      <c r="R7" s="24">
        <v>45.348904459251671</v>
      </c>
      <c r="S7" s="24">
        <v>46.383073446920058</v>
      </c>
      <c r="T7" s="24" t="e">
        <v>#DIV/0!</v>
      </c>
      <c r="U7" s="24" t="e">
        <v>#DIV/0!</v>
      </c>
      <c r="V7" s="20">
        <v>5632</v>
      </c>
      <c r="W7" s="24">
        <v>31.418932031250005</v>
      </c>
      <c r="X7" s="23">
        <v>0.46</v>
      </c>
      <c r="Y7" s="22">
        <v>1983</v>
      </c>
      <c r="Z7" s="18" t="s">
        <v>120</v>
      </c>
      <c r="AA7" s="26" t="s">
        <v>80</v>
      </c>
    </row>
    <row r="8" spans="1:48" x14ac:dyDescent="0.2">
      <c r="A8" s="17"/>
      <c r="B8" t="s">
        <v>87</v>
      </c>
      <c r="C8" s="1" t="s">
        <v>88</v>
      </c>
      <c r="D8" t="s">
        <v>22</v>
      </c>
      <c r="E8" t="s">
        <v>49</v>
      </c>
      <c r="F8" s="19"/>
      <c r="G8" s="20">
        <v>0</v>
      </c>
      <c r="H8" s="20"/>
      <c r="I8" s="20">
        <v>0</v>
      </c>
      <c r="J8" s="20"/>
      <c r="K8" s="21"/>
      <c r="L8" s="22"/>
      <c r="M8" s="23"/>
      <c r="N8" s="22"/>
      <c r="O8" s="22"/>
      <c r="P8" s="22"/>
      <c r="Q8" s="22"/>
      <c r="R8" s="24" t="e">
        <v>#DIV/0!</v>
      </c>
      <c r="S8" s="24" t="e">
        <v>#DIV/0!</v>
      </c>
      <c r="T8" s="24" t="e">
        <v>#DIV/0!</v>
      </c>
      <c r="U8" s="24" t="e">
        <v>#DIV/0!</v>
      </c>
      <c r="V8" s="22"/>
      <c r="W8" s="24" t="e">
        <v>#DIV/0!</v>
      </c>
      <c r="X8" s="23"/>
      <c r="Y8" s="22"/>
      <c r="Z8" s="18"/>
      <c r="AA8" s="26" t="s">
        <v>89</v>
      </c>
    </row>
  </sheetData>
  <hyperlinks>
    <hyperlink ref="A1" location="'Information Technology &gt;=100B'!A1" display="Main" xr:uid="{9CE527F8-D29E-46F4-A26E-858B3E10DE6F}"/>
    <hyperlink ref="B3" r:id="rId1" xr:uid="{ED6001A0-513E-42FF-AD95-30B57E6FE200}"/>
    <hyperlink ref="AA3" r:id="rId2" xr:uid="{BBBAB121-73F6-4336-B4FC-E79B88B8BF14}"/>
    <hyperlink ref="C3" r:id="rId3" xr:uid="{0138B7FB-8428-4267-AEB5-7C3FF9554BDE}"/>
    <hyperlink ref="C4" r:id="rId4" xr:uid="{2582839F-E10C-4328-A294-A60F469EEED8}"/>
    <hyperlink ref="B4" r:id="rId5" xr:uid="{C4B8CA8C-7702-46A7-ABCF-1232E4A1349B}"/>
    <hyperlink ref="AA4" r:id="rId6" xr:uid="{3676998A-08DC-4446-B371-DD0600DFE95B}"/>
    <hyperlink ref="AA5" r:id="rId7" xr:uid="{8940A222-7EE5-4C0A-9649-0B7C3C791BD5}"/>
    <hyperlink ref="B5" r:id="rId8" xr:uid="{73BDDFD2-A258-4C81-942C-A08395BA433B}"/>
    <hyperlink ref="C5" r:id="rId9" xr:uid="{98ACBCBE-24EE-4FD9-8F39-B11181A6185E}"/>
    <hyperlink ref="C6" r:id="rId10" xr:uid="{F5ACA110-EB39-41A5-A4B0-F682334E4EB1}"/>
    <hyperlink ref="AA6" r:id="rId11" xr:uid="{91638E66-C6E9-44A9-BDDA-3D8DF8FE8238}"/>
    <hyperlink ref="B6" r:id="rId12" xr:uid="{2F6A045B-E991-4BB5-BA4B-F498AEF62031}"/>
    <hyperlink ref="AA7" r:id="rId13" xr:uid="{21F8B432-DE48-4D78-8309-6DCB8E6CF0D5}"/>
    <hyperlink ref="B7" r:id="rId14" xr:uid="{C3808B3F-1543-4F13-B371-60F9EF508707}"/>
    <hyperlink ref="C7" r:id="rId15" xr:uid="{7ABF7E6B-25BB-4359-BF93-1F1880C9E0BB}"/>
    <hyperlink ref="C8" r:id="rId16" xr:uid="{D72B8477-6592-4567-924C-3752F4447D0F}"/>
    <hyperlink ref="AA8" r:id="rId17" xr:uid="{1AA3D323-270D-4E4D-A545-E58A9285011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F60C-8AED-40BF-8C14-C4A9EB61CADB}">
  <dimension ref="A1:AV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3" max="3" width="15.42578125" bestFit="1" customWidth="1"/>
    <col min="4" max="4" width="20.28515625" bestFit="1" customWidth="1"/>
    <col min="5" max="5" width="24.28515625" bestFit="1" customWidth="1"/>
  </cols>
  <sheetData>
    <row r="1" spans="1:48" x14ac:dyDescent="0.2">
      <c r="A1" s="29" t="s">
        <v>0</v>
      </c>
    </row>
    <row r="2" spans="1:48" s="14" customFormat="1" ht="12.95" customHeight="1" x14ac:dyDescent="0.2">
      <c r="B2" s="2" t="s">
        <v>1</v>
      </c>
      <c r="C2" s="3" t="s">
        <v>2</v>
      </c>
      <c r="D2" s="3" t="s">
        <v>3</v>
      </c>
      <c r="E2" s="2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 t="s">
        <v>11</v>
      </c>
      <c r="M2" s="8" t="s">
        <v>112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">
      <c r="A3" s="27" t="s">
        <v>42</v>
      </c>
      <c r="B3" s="1" t="s">
        <v>54</v>
      </c>
      <c r="C3" s="1" t="s">
        <v>54</v>
      </c>
      <c r="D3" t="s">
        <v>22</v>
      </c>
      <c r="E3" t="s">
        <v>55</v>
      </c>
      <c r="F3" s="19">
        <v>573.1</v>
      </c>
      <c r="G3" s="20">
        <v>224941.75</v>
      </c>
      <c r="H3" s="20">
        <v>5422.6</v>
      </c>
      <c r="I3" s="20">
        <v>219519.15</v>
      </c>
      <c r="J3" s="20">
        <v>392.5</v>
      </c>
      <c r="K3" s="21">
        <v>45763</v>
      </c>
      <c r="L3" s="22" t="s">
        <v>39</v>
      </c>
      <c r="M3" s="23">
        <v>0.03</v>
      </c>
      <c r="N3" s="20">
        <v>8490.1999999999989</v>
      </c>
      <c r="O3" s="20">
        <v>8468.9016000000011</v>
      </c>
      <c r="P3" s="20">
        <v>9858.582315200003</v>
      </c>
      <c r="Q3" s="20">
        <v>11421.711756726403</v>
      </c>
      <c r="R3" s="24">
        <v>25.85559232998045</v>
      </c>
      <c r="S3" s="24">
        <v>25.920616435075829</v>
      </c>
      <c r="T3" s="24">
        <v>22.266807029804323</v>
      </c>
      <c r="U3" s="24">
        <v>19.219461554939183</v>
      </c>
      <c r="V3" s="20">
        <v>9294.6</v>
      </c>
      <c r="W3" s="24">
        <v>23.617923310309209</v>
      </c>
      <c r="X3" s="23">
        <v>0.27</v>
      </c>
      <c r="Y3" s="22">
        <v>1984</v>
      </c>
      <c r="Z3" s="18" t="s">
        <v>56</v>
      </c>
      <c r="AA3" s="26" t="s">
        <v>57</v>
      </c>
    </row>
    <row r="4" spans="1:48" x14ac:dyDescent="0.2">
      <c r="A4" s="27" t="s">
        <v>42</v>
      </c>
      <c r="B4" s="1" t="s">
        <v>100</v>
      </c>
      <c r="C4" s="25" t="s">
        <v>101</v>
      </c>
      <c r="D4" t="s">
        <v>22</v>
      </c>
      <c r="E4" t="s">
        <v>102</v>
      </c>
      <c r="F4" s="19">
        <v>137.46</v>
      </c>
      <c r="G4" s="20">
        <v>111678.11910354</v>
      </c>
      <c r="H4" s="20">
        <v>4639</v>
      </c>
      <c r="I4" s="20">
        <v>107039.11910354</v>
      </c>
      <c r="J4" s="20">
        <v>812.44084899999996</v>
      </c>
      <c r="K4" s="21">
        <v>45768</v>
      </c>
      <c r="L4" s="22" t="s">
        <v>39</v>
      </c>
      <c r="M4" s="23">
        <v>0.02</v>
      </c>
      <c r="N4" s="20">
        <v>6343</v>
      </c>
      <c r="O4" s="20">
        <v>7177</v>
      </c>
      <c r="P4" s="22"/>
      <c r="Q4" s="22"/>
      <c r="R4" s="24">
        <v>16.875156724505754</v>
      </c>
      <c r="S4" s="24">
        <v>14.914186861298592</v>
      </c>
      <c r="T4" s="24" t="e">
        <v>#DIV/0!</v>
      </c>
      <c r="U4" s="24" t="e">
        <v>#DIV/0!</v>
      </c>
      <c r="V4" s="20">
        <v>5935</v>
      </c>
      <c r="W4" s="24">
        <v>18.035234895288962</v>
      </c>
      <c r="X4" s="23">
        <v>0.34</v>
      </c>
      <c r="Y4" s="22">
        <v>1967</v>
      </c>
      <c r="Z4" s="18" t="s">
        <v>35</v>
      </c>
      <c r="AA4" s="26" t="s">
        <v>103</v>
      </c>
    </row>
  </sheetData>
  <hyperlinks>
    <hyperlink ref="A1" location="'Information Technology &gt;=100B'!A1" display="Main" xr:uid="{EA8CB638-579D-4C1E-8AC9-A77CAF737C2B}"/>
    <hyperlink ref="C3" r:id="rId1" xr:uid="{B412A820-CC88-40D5-86FB-43D3BCB4614F}"/>
    <hyperlink ref="AA3" r:id="rId2" xr:uid="{FCA59E6F-96A0-4052-84B8-1B0C5E764E3C}"/>
    <hyperlink ref="B3" r:id="rId3" xr:uid="{97A8BB91-8CA8-4F34-BC2F-67F7C2898B5A}"/>
    <hyperlink ref="AA4" r:id="rId4" xr:uid="{4F4F8BCD-5F55-47B7-9887-4AFD3E9B91BA}"/>
    <hyperlink ref="C4" r:id="rId5" xr:uid="{8B529ED3-7042-40A5-8503-23C077E48178}"/>
    <hyperlink ref="B4" r:id="rId6" xr:uid="{383530CE-763C-453C-A355-778ADBB3AD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CA3A-7333-4BA6-BE89-9F31A0922F89}">
  <dimension ref="A1:AV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18" sqref="K18"/>
    </sheetView>
  </sheetViews>
  <sheetFormatPr defaultRowHeight="12.75" x14ac:dyDescent="0.2"/>
  <cols>
    <col min="1" max="1" width="5" bestFit="1" customWidth="1"/>
    <col min="3" max="3" width="21.5703125" bestFit="1" customWidth="1"/>
    <col min="4" max="4" width="20.28515625" bestFit="1" customWidth="1"/>
    <col min="5" max="5" width="24.7109375" bestFit="1" customWidth="1"/>
  </cols>
  <sheetData>
    <row r="1" spans="1:48" x14ac:dyDescent="0.2">
      <c r="A1" s="29" t="s">
        <v>0</v>
      </c>
    </row>
    <row r="2" spans="1:48" s="14" customFormat="1" ht="12.95" customHeight="1" x14ac:dyDescent="0.2">
      <c r="B2" s="2" t="s">
        <v>1</v>
      </c>
      <c r="C2" s="3" t="s">
        <v>2</v>
      </c>
      <c r="D2" s="3" t="s">
        <v>3</v>
      </c>
      <c r="E2" s="2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 t="s">
        <v>11</v>
      </c>
      <c r="M2" s="8" t="s">
        <v>112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">
      <c r="A3" s="17"/>
      <c r="B3" s="1" t="s">
        <v>61</v>
      </c>
      <c r="C3" s="1" t="s">
        <v>62</v>
      </c>
      <c r="D3" t="s">
        <v>22</v>
      </c>
      <c r="E3" t="s">
        <v>63</v>
      </c>
      <c r="F3" s="19">
        <v>56</v>
      </c>
      <c r="G3" s="20">
        <v>222784.376192</v>
      </c>
      <c r="H3" s="20">
        <v>-14185</v>
      </c>
      <c r="I3" s="20">
        <v>236969.376192</v>
      </c>
      <c r="J3" s="20">
        <v>3978.2924320000002</v>
      </c>
      <c r="K3" s="21">
        <v>45770</v>
      </c>
      <c r="L3" s="22" t="s">
        <v>111</v>
      </c>
      <c r="M3" s="23">
        <v>-0.06</v>
      </c>
      <c r="N3" s="20">
        <v>11714</v>
      </c>
      <c r="O3" s="20">
        <v>12113</v>
      </c>
      <c r="P3" s="22"/>
      <c r="Q3" s="22"/>
      <c r="R3" s="24">
        <v>20.229586494109611</v>
      </c>
      <c r="S3" s="24">
        <v>19.56322762255428</v>
      </c>
      <c r="T3" s="24" t="e">
        <v>#DIV/0!</v>
      </c>
      <c r="U3" s="24" t="e">
        <v>#DIV/0!</v>
      </c>
      <c r="V3" s="20">
        <v>12810</v>
      </c>
      <c r="W3" s="24">
        <v>18.498780342857142</v>
      </c>
      <c r="X3" s="23">
        <v>0.33</v>
      </c>
      <c r="Y3" s="22">
        <v>1984</v>
      </c>
      <c r="Z3" s="18" t="s">
        <v>40</v>
      </c>
      <c r="AA3" s="26" t="s">
        <v>64</v>
      </c>
    </row>
    <row r="4" spans="1:48" x14ac:dyDescent="0.2">
      <c r="A4" s="17"/>
      <c r="B4" t="s">
        <v>72</v>
      </c>
      <c r="C4" t="s">
        <v>73</v>
      </c>
      <c r="D4" t="s">
        <v>22</v>
      </c>
      <c r="E4" t="s">
        <v>63</v>
      </c>
      <c r="F4" s="19"/>
      <c r="G4" s="20">
        <v>0</v>
      </c>
      <c r="H4" s="20"/>
      <c r="I4" s="20">
        <v>0</v>
      </c>
      <c r="J4" s="20"/>
      <c r="K4" s="21"/>
      <c r="L4" s="22"/>
      <c r="M4" s="23"/>
      <c r="N4" s="22"/>
      <c r="O4" s="22"/>
      <c r="P4" s="22"/>
      <c r="Q4" s="22"/>
      <c r="R4" s="24" t="e">
        <v>#DIV/0!</v>
      </c>
      <c r="S4" s="24" t="e">
        <v>#DIV/0!</v>
      </c>
      <c r="T4" s="24" t="e">
        <v>#DIV/0!</v>
      </c>
      <c r="U4" s="24" t="e">
        <v>#DIV/0!</v>
      </c>
      <c r="V4" s="22"/>
      <c r="W4" s="24" t="e">
        <v>#DIV/0!</v>
      </c>
      <c r="X4" s="23"/>
      <c r="Y4" s="22"/>
      <c r="Z4" s="18"/>
      <c r="AA4" s="26" t="s">
        <v>74</v>
      </c>
    </row>
  </sheetData>
  <hyperlinks>
    <hyperlink ref="A1" location="'Information Technology &gt;=100B'!A1" display="Main" xr:uid="{ECCFBE2A-6236-486A-96CB-EC017A2630FE}"/>
    <hyperlink ref="B3" r:id="rId1" xr:uid="{39F3EAAD-F2DD-4797-8404-FB5C7FE9A62E}"/>
    <hyperlink ref="AA3" r:id="rId2" xr:uid="{AD85925D-F366-4FF8-AD50-93B92A3F512F}"/>
    <hyperlink ref="C3" r:id="rId3" xr:uid="{77B7EAFE-5A6F-4809-BF32-7BDDB175974A}"/>
    <hyperlink ref="AA4" r:id="rId4" xr:uid="{6B4023D4-18C7-4BD6-8C6E-D61515AB6DF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ECA5-487F-4500-9CCA-C3D69B250703}">
  <dimension ref="A1:AV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27" sqref="J27"/>
    </sheetView>
  </sheetViews>
  <sheetFormatPr defaultRowHeight="12.75" x14ac:dyDescent="0.2"/>
  <cols>
    <col min="1" max="1" width="5.28515625" customWidth="1"/>
    <col min="4" max="4" width="20.28515625" bestFit="1" customWidth="1"/>
    <col min="5" max="5" width="26.85546875" bestFit="1" customWidth="1"/>
  </cols>
  <sheetData>
    <row r="1" spans="1:48" x14ac:dyDescent="0.2">
      <c r="A1" s="29" t="s">
        <v>0</v>
      </c>
    </row>
    <row r="2" spans="1:48" s="14" customFormat="1" ht="12.95" customHeight="1" x14ac:dyDescent="0.2">
      <c r="A2" s="28"/>
      <c r="B2" s="2" t="s">
        <v>1</v>
      </c>
      <c r="C2" s="3" t="s">
        <v>2</v>
      </c>
      <c r="D2" s="3" t="s">
        <v>3</v>
      </c>
      <c r="E2" s="2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 t="s">
        <v>11</v>
      </c>
      <c r="M2" s="8" t="s">
        <v>112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">
      <c r="A3" s="27" t="s">
        <v>42</v>
      </c>
      <c r="B3" s="1" t="s">
        <v>65</v>
      </c>
      <c r="C3" s="1" t="s">
        <v>66</v>
      </c>
      <c r="D3" t="s">
        <v>22</v>
      </c>
      <c r="E3" t="s">
        <v>67</v>
      </c>
      <c r="F3" s="19">
        <v>245.48</v>
      </c>
      <c r="G3" s="20">
        <f t="shared" ref="G3:G4" si="0">+F3*J3</f>
        <v>232076.79199999999</v>
      </c>
      <c r="H3" s="20">
        <f>+[6]Main!$L$6-[6]Main!$L$7</f>
        <v>-43837</v>
      </c>
      <c r="I3" s="20">
        <f t="shared" ref="I3:I4" si="1">+G3-H3</f>
        <v>275913.79200000002</v>
      </c>
      <c r="J3" s="20">
        <f>+[6]Main!$L$4</f>
        <v>945.4</v>
      </c>
      <c r="K3" s="21">
        <v>45770</v>
      </c>
      <c r="L3" s="22" t="s">
        <v>39</v>
      </c>
      <c r="M3" s="23">
        <v>0.01</v>
      </c>
      <c r="N3" s="20">
        <f>+SUM([6]Model!$P$19:$S$19)</f>
        <v>6486</v>
      </c>
      <c r="O3" s="20">
        <f>+[6]Model!$AF$19</f>
        <v>6891</v>
      </c>
      <c r="P3" s="22"/>
      <c r="Q3" s="22"/>
      <c r="R3" s="24">
        <f t="shared" ref="R3:U4" si="2">+$I3/N3</f>
        <v>42.53990009250694</v>
      </c>
      <c r="S3" s="24">
        <f t="shared" si="2"/>
        <v>40.039731824118419</v>
      </c>
      <c r="T3" s="24" t="e">
        <f t="shared" si="2"/>
        <v>#DIV/0!</v>
      </c>
      <c r="U3" s="24" t="e">
        <f t="shared" si="2"/>
        <v>#DIV/0!</v>
      </c>
      <c r="V3" s="22"/>
      <c r="W3" s="24" t="e">
        <f t="shared" ref="W3:W4" si="3">+$I3/V3</f>
        <v>#DIV/0!</v>
      </c>
      <c r="X3" s="23"/>
      <c r="Y3" s="22">
        <v>1911</v>
      </c>
      <c r="Z3" s="18" t="s">
        <v>113</v>
      </c>
      <c r="AA3" s="26" t="s">
        <v>68</v>
      </c>
    </row>
    <row r="4" spans="1:48" x14ac:dyDescent="0.2">
      <c r="A4" s="27" t="s">
        <v>42</v>
      </c>
      <c r="B4" s="1" t="s">
        <v>69</v>
      </c>
      <c r="C4" s="1" t="s">
        <v>70</v>
      </c>
      <c r="D4" t="s">
        <v>22</v>
      </c>
      <c r="E4" t="s">
        <v>67</v>
      </c>
      <c r="F4" s="19">
        <v>293.11</v>
      </c>
      <c r="G4" s="20">
        <f t="shared" si="0"/>
        <v>198831.58471619998</v>
      </c>
      <c r="H4" s="20">
        <f>+[7]Main!$L$5-[7]Main!$L$6</f>
        <v>3779.9299999999994</v>
      </c>
      <c r="I4" s="20">
        <f t="shared" si="1"/>
        <v>195051.65471619999</v>
      </c>
      <c r="J4" s="20">
        <f>+[7]Main!$L$3</f>
        <v>678.35141999999996</v>
      </c>
      <c r="K4" s="21">
        <v>45773</v>
      </c>
      <c r="L4" s="22" t="s">
        <v>111</v>
      </c>
      <c r="M4" s="23">
        <v>0.01</v>
      </c>
      <c r="N4" s="20">
        <f>+SUM([7]Model!$K$27:$N$27)</f>
        <v>8097.052999999999</v>
      </c>
      <c r="O4" s="20">
        <f>+[7]Model!AB$27</f>
        <v>7967.4480000000112</v>
      </c>
      <c r="P4" s="20">
        <f>+[7]Model!AC$27</f>
        <v>8428.2678607000216</v>
      </c>
      <c r="Q4" s="20">
        <f>+[7]Model!AD$27</f>
        <v>9438.3046726358752</v>
      </c>
      <c r="R4" s="24">
        <f t="shared" si="2"/>
        <v>24.089215510408543</v>
      </c>
      <c r="S4" s="24">
        <f t="shared" si="2"/>
        <v>24.481070314635215</v>
      </c>
      <c r="T4" s="24">
        <f t="shared" si="2"/>
        <v>23.142555260458902</v>
      </c>
      <c r="U4" s="24">
        <f t="shared" si="2"/>
        <v>20.665962954311698</v>
      </c>
      <c r="V4" s="20">
        <f>+SUM([7]Model!$K$87:$N$87)</f>
        <v>9746.5490000000009</v>
      </c>
      <c r="W4" s="24">
        <f t="shared" si="3"/>
        <v>20.012381276306105</v>
      </c>
      <c r="X4" s="23">
        <v>0.3</v>
      </c>
      <c r="Y4" s="22">
        <v>1989</v>
      </c>
      <c r="Z4" s="18" t="s">
        <v>121</v>
      </c>
      <c r="AA4" s="26" t="s">
        <v>71</v>
      </c>
    </row>
  </sheetData>
  <hyperlinks>
    <hyperlink ref="C3" r:id="rId1" xr:uid="{4B5B5A7A-E2DF-4E4E-9AC8-27F9B3897B43}"/>
    <hyperlink ref="B3" r:id="rId2" xr:uid="{25AC20CF-2E3A-4DC7-9D33-3AF16D331D35}"/>
    <hyperlink ref="AA3" r:id="rId3" xr:uid="{D27DFC18-3312-4030-AC5D-9A1518D29751}"/>
    <hyperlink ref="B4" r:id="rId4" xr:uid="{A9882D4D-CE41-4080-9B27-2C3E6B932C2D}"/>
    <hyperlink ref="AA4" r:id="rId5" xr:uid="{29C2DE9D-221C-4CE6-B9E6-02DFDCE4DFFD}"/>
    <hyperlink ref="C4" r:id="rId6" xr:uid="{B5E2A277-92A9-4A51-8368-EE3C56CAFDDA}"/>
    <hyperlink ref="A1" location="'Information Technology &gt;=100B'!A1" display="Main" xr:uid="{00703068-6C5F-45F0-BEE8-EAAC1B8EF77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B17E-F177-4322-A38C-FAD031FFB617}">
  <dimension ref="A1:AV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3" max="3" width="24.140625" bestFit="1" customWidth="1"/>
    <col min="4" max="4" width="20.28515625" bestFit="1" customWidth="1"/>
    <col min="5" max="5" width="35.140625" bestFit="1" customWidth="1"/>
  </cols>
  <sheetData>
    <row r="1" spans="1:48" x14ac:dyDescent="0.2">
      <c r="A1" s="29" t="s">
        <v>0</v>
      </c>
    </row>
    <row r="2" spans="1:48" s="14" customFormat="1" ht="12.95" customHeight="1" x14ac:dyDescent="0.2">
      <c r="B2" s="2" t="s">
        <v>1</v>
      </c>
      <c r="C2" s="3" t="s">
        <v>2</v>
      </c>
      <c r="D2" s="3" t="s">
        <v>3</v>
      </c>
      <c r="E2" s="2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 t="s">
        <v>11</v>
      </c>
      <c r="M2" s="8" t="s">
        <v>112</v>
      </c>
      <c r="N2" s="5" t="s">
        <v>12</v>
      </c>
      <c r="O2" s="9">
        <v>2024</v>
      </c>
      <c r="P2" s="9">
        <v>2025</v>
      </c>
      <c r="Q2" s="9">
        <v>2026</v>
      </c>
      <c r="R2" s="10" t="s">
        <v>13</v>
      </c>
      <c r="S2" s="10">
        <v>2024</v>
      </c>
      <c r="T2" s="10">
        <v>2025</v>
      </c>
      <c r="U2" s="10">
        <v>2026</v>
      </c>
      <c r="V2" s="5" t="s">
        <v>14</v>
      </c>
      <c r="W2" s="10" t="s">
        <v>15</v>
      </c>
      <c r="X2" s="8" t="s">
        <v>16</v>
      </c>
      <c r="Y2" s="11" t="s">
        <v>17</v>
      </c>
      <c r="Z2" s="8" t="s">
        <v>18</v>
      </c>
      <c r="AA2" s="2" t="s">
        <v>19</v>
      </c>
      <c r="AB2" s="12"/>
      <c r="AC2" s="13"/>
      <c r="AI2" s="15"/>
      <c r="AJ2" s="15"/>
      <c r="AK2" s="13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x14ac:dyDescent="0.2">
      <c r="A3" s="17"/>
      <c r="B3" t="s">
        <v>93</v>
      </c>
      <c r="C3" t="s">
        <v>94</v>
      </c>
      <c r="D3" t="s">
        <v>22</v>
      </c>
      <c r="E3" t="s">
        <v>95</v>
      </c>
      <c r="F3" s="19"/>
      <c r="G3" s="20">
        <v>0</v>
      </c>
      <c r="H3" s="20"/>
      <c r="I3" s="20">
        <v>0</v>
      </c>
      <c r="J3" s="20"/>
      <c r="K3" s="21"/>
      <c r="L3" s="22"/>
      <c r="M3" s="23"/>
      <c r="N3" s="22"/>
      <c r="O3" s="22"/>
      <c r="P3" s="22"/>
      <c r="Q3" s="22"/>
      <c r="R3" s="24" t="e">
        <v>#DIV/0!</v>
      </c>
      <c r="S3" s="24" t="e">
        <v>#DIV/0!</v>
      </c>
      <c r="T3" s="24" t="e">
        <v>#DIV/0!</v>
      </c>
      <c r="U3" s="24" t="e">
        <v>#DIV/0!</v>
      </c>
      <c r="V3" s="22"/>
      <c r="W3" s="24" t="e">
        <v>#DIV/0!</v>
      </c>
      <c r="X3" s="23"/>
      <c r="Y3" s="22"/>
      <c r="Z3" s="18"/>
      <c r="AA3" s="26" t="s">
        <v>96</v>
      </c>
    </row>
    <row r="4" spans="1:48" x14ac:dyDescent="0.2">
      <c r="A4" s="17"/>
      <c r="B4" t="s">
        <v>97</v>
      </c>
      <c r="C4" t="s">
        <v>98</v>
      </c>
      <c r="D4" t="s">
        <v>22</v>
      </c>
      <c r="E4" t="s">
        <v>95</v>
      </c>
      <c r="F4" s="19"/>
      <c r="G4" s="20">
        <v>0</v>
      </c>
      <c r="H4" s="20"/>
      <c r="I4" s="20">
        <v>0</v>
      </c>
      <c r="J4" s="20"/>
      <c r="K4" s="21"/>
      <c r="L4" s="22"/>
      <c r="M4" s="23"/>
      <c r="N4" s="22"/>
      <c r="O4" s="22"/>
      <c r="P4" s="22"/>
      <c r="Q4" s="22"/>
      <c r="R4" s="24" t="e">
        <v>#DIV/0!</v>
      </c>
      <c r="S4" s="24" t="e">
        <v>#DIV/0!</v>
      </c>
      <c r="T4" s="24" t="e">
        <v>#DIV/0!</v>
      </c>
      <c r="U4" s="24" t="e">
        <v>#DIV/0!</v>
      </c>
      <c r="V4" s="22"/>
      <c r="W4" s="24" t="e">
        <v>#DIV/0!</v>
      </c>
      <c r="X4" s="23"/>
      <c r="Y4" s="22"/>
      <c r="Z4" s="18"/>
      <c r="AA4" s="26" t="s">
        <v>99</v>
      </c>
    </row>
  </sheetData>
  <hyperlinks>
    <hyperlink ref="A1" location="'Information Technology &gt;=100B'!A1" display="Main" xr:uid="{A3150D1D-3A34-4299-8A9A-2E6BA4A3C60C}"/>
    <hyperlink ref="AA3" r:id="rId1" xr:uid="{C59CB278-4CBC-4CCA-8411-4A8C1E28C17C}"/>
    <hyperlink ref="AA4" r:id="rId2" xr:uid="{A9E0B043-D832-4879-9E0A-855E103242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Information Technology &gt;=100B</vt:lpstr>
      <vt:lpstr>Consumer Electronics &amp; Software</vt:lpstr>
      <vt:lpstr>Systems Software</vt:lpstr>
      <vt:lpstr>Semiconductors</vt:lpstr>
      <vt:lpstr>Application Software</vt:lpstr>
      <vt:lpstr>Semiconductors Equipment</vt:lpstr>
      <vt:lpstr>Communications Equipment</vt:lpstr>
      <vt:lpstr>IT Consulting &amp; Other Services</vt:lpstr>
      <vt:lpstr>Data Processing &amp; Outsourced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2025-04-21T10:57:27Z</dcterms:created>
  <dcterms:modified xsi:type="dcterms:W3CDTF">2025-05-03T18:51:59Z</dcterms:modified>
</cp:coreProperties>
</file>