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44169BEE-4AC1-4A7B-A10A-09C33707E337}" xr6:coauthVersionLast="47" xr6:coauthVersionMax="47" xr10:uidLastSave="{00000000-0000-0000-0000-000000000000}"/>
  <bookViews>
    <workbookView xWindow="105" yWindow="45" windowWidth="14235" windowHeight="15495" xr2:uid="{E7DFC6FF-30E4-446A-8ACD-A41692D241C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Q95" i="2"/>
  <c r="R95" i="2"/>
  <c r="Q94" i="2"/>
  <c r="Q91" i="2"/>
  <c r="Q92" i="2" s="1"/>
  <c r="Q90" i="2"/>
  <c r="Q89" i="2"/>
  <c r="Q88" i="2"/>
  <c r="Q87" i="2"/>
  <c r="Q86" i="2"/>
  <c r="Q84" i="2"/>
  <c r="Q83" i="2"/>
  <c r="Q82" i="2"/>
  <c r="Q81" i="2"/>
  <c r="Q80" i="2"/>
  <c r="Q79" i="2"/>
  <c r="Q78" i="2"/>
  <c r="Q75" i="2"/>
  <c r="Q76" i="2" s="1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59" i="2"/>
  <c r="Q60" i="2"/>
  <c r="O86" i="2"/>
  <c r="O91" i="2" s="1"/>
  <c r="O84" i="2"/>
  <c r="O75" i="2"/>
  <c r="O76" i="2" s="1"/>
  <c r="O59" i="2"/>
  <c r="P86" i="2"/>
  <c r="P91" i="2"/>
  <c r="P84" i="2"/>
  <c r="P75" i="2"/>
  <c r="P76" i="2" s="1"/>
  <c r="P59" i="2"/>
  <c r="AG86" i="2"/>
  <c r="AG84" i="2"/>
  <c r="AG91" i="2"/>
  <c r="AG75" i="2"/>
  <c r="AG76" i="2" s="1"/>
  <c r="AG47" i="2"/>
  <c r="AG45" i="2"/>
  <c r="AG52" i="2" s="1"/>
  <c r="AG54" i="2" s="1"/>
  <c r="AG40" i="2"/>
  <c r="AG39" i="2"/>
  <c r="AG43" i="2" s="1"/>
  <c r="N86" i="2"/>
  <c r="N91" i="2" s="1"/>
  <c r="N84" i="2"/>
  <c r="N75" i="2"/>
  <c r="N76" i="2" s="1"/>
  <c r="R86" i="2"/>
  <c r="R91" i="2" s="1"/>
  <c r="R84" i="2"/>
  <c r="R75" i="2"/>
  <c r="R76" i="2" s="1"/>
  <c r="Q47" i="2"/>
  <c r="Q52" i="2" s="1"/>
  <c r="Q54" i="2" s="1"/>
  <c r="Q45" i="2"/>
  <c r="Q31" i="2" s="1"/>
  <c r="Q40" i="2"/>
  <c r="Q39" i="2"/>
  <c r="Q43" i="2"/>
  <c r="R47" i="2"/>
  <c r="R45" i="2"/>
  <c r="R31" i="2" s="1"/>
  <c r="R40" i="2"/>
  <c r="R39" i="2"/>
  <c r="R43" i="2" s="1"/>
  <c r="E22" i="2"/>
  <c r="E19" i="2"/>
  <c r="E17" i="2"/>
  <c r="E14" i="2"/>
  <c r="E13" i="2"/>
  <c r="E15" i="2" s="1"/>
  <c r="E11" i="2"/>
  <c r="E10" i="2"/>
  <c r="E8" i="2"/>
  <c r="E7" i="2"/>
  <c r="E4" i="2"/>
  <c r="E3" i="2"/>
  <c r="I22" i="2"/>
  <c r="I19" i="2"/>
  <c r="I17" i="2"/>
  <c r="I14" i="2"/>
  <c r="I13" i="2"/>
  <c r="I15" i="2" s="1"/>
  <c r="I11" i="2"/>
  <c r="I10" i="2"/>
  <c r="I8" i="2"/>
  <c r="I7" i="2"/>
  <c r="I5" i="2"/>
  <c r="I4" i="2"/>
  <c r="I3" i="2"/>
  <c r="AB5" i="2"/>
  <c r="AB6" i="2" s="1"/>
  <c r="AB9" i="2" s="1"/>
  <c r="AB15" i="2"/>
  <c r="AC5" i="2"/>
  <c r="AC6" i="2" s="1"/>
  <c r="AC9" i="2" s="1"/>
  <c r="AC15" i="2"/>
  <c r="AD5" i="2"/>
  <c r="AD6" i="2" s="1"/>
  <c r="AD9" i="2" s="1"/>
  <c r="AD12" i="2" s="1"/>
  <c r="AD15" i="2"/>
  <c r="B15" i="2"/>
  <c r="B6" i="2"/>
  <c r="B9" i="2" s="1"/>
  <c r="B12" i="2" s="1"/>
  <c r="F15" i="2"/>
  <c r="F6" i="2"/>
  <c r="F9" i="2" s="1"/>
  <c r="C15" i="2"/>
  <c r="C6" i="2"/>
  <c r="C9" i="2" s="1"/>
  <c r="G15" i="2"/>
  <c r="G6" i="2"/>
  <c r="G9" i="2" s="1"/>
  <c r="D15" i="2"/>
  <c r="D6" i="2"/>
  <c r="D9" i="2" s="1"/>
  <c r="H15" i="2"/>
  <c r="H6" i="2"/>
  <c r="H9" i="2" s="1"/>
  <c r="M22" i="2"/>
  <c r="M19" i="2"/>
  <c r="M17" i="2"/>
  <c r="M14" i="2"/>
  <c r="M13" i="2"/>
  <c r="M11" i="2"/>
  <c r="M10" i="2"/>
  <c r="M8" i="2"/>
  <c r="M7" i="2"/>
  <c r="M5" i="2"/>
  <c r="M4" i="2"/>
  <c r="M3" i="2"/>
  <c r="Q22" i="2"/>
  <c r="Q19" i="2"/>
  <c r="Q17" i="2"/>
  <c r="Q14" i="2"/>
  <c r="Q13" i="2"/>
  <c r="Q15" i="2" s="1"/>
  <c r="Q11" i="2"/>
  <c r="Q10" i="2"/>
  <c r="Q8" i="2"/>
  <c r="Q7" i="2"/>
  <c r="Q5" i="2"/>
  <c r="Q4" i="2"/>
  <c r="Q3" i="2"/>
  <c r="J15" i="2"/>
  <c r="J6" i="2"/>
  <c r="J9" i="2" s="1"/>
  <c r="K15" i="2"/>
  <c r="K6" i="2"/>
  <c r="K9" i="2" s="1"/>
  <c r="O15" i="2"/>
  <c r="O6" i="2"/>
  <c r="O9" i="2" s="1"/>
  <c r="L15" i="2"/>
  <c r="L6" i="2"/>
  <c r="L9" i="2" s="1"/>
  <c r="P29" i="2" s="1"/>
  <c r="P15" i="2"/>
  <c r="P6" i="2"/>
  <c r="P9" i="2" s="1"/>
  <c r="AE15" i="2"/>
  <c r="AE6" i="2"/>
  <c r="AE9" i="2" s="1"/>
  <c r="AF15" i="2"/>
  <c r="AF6" i="2"/>
  <c r="AF9" i="2" s="1"/>
  <c r="AG15" i="2"/>
  <c r="AG6" i="2"/>
  <c r="AG9" i="2" s="1"/>
  <c r="AG12" i="2" s="1"/>
  <c r="N15" i="2"/>
  <c r="N6" i="2"/>
  <c r="N9" i="2" s="1"/>
  <c r="R15" i="2"/>
  <c r="R6" i="2"/>
  <c r="R9" i="2" s="1"/>
  <c r="R12" i="2" s="1"/>
  <c r="L8" i="1"/>
  <c r="L7" i="1"/>
  <c r="L5" i="1"/>
  <c r="X2" i="2"/>
  <c r="Y2" i="2" s="1"/>
  <c r="Z2" i="2" s="1"/>
  <c r="AA2" i="2" s="1"/>
  <c r="AB2" i="2" s="1"/>
  <c r="AC2" i="2" s="1"/>
  <c r="AD2" i="2" s="1"/>
  <c r="AE2" i="2" s="1"/>
  <c r="AF2" i="2" s="1"/>
  <c r="O94" i="2" l="1"/>
  <c r="O92" i="2"/>
  <c r="P94" i="2"/>
  <c r="P92" i="2"/>
  <c r="N92" i="2"/>
  <c r="R92" i="2"/>
  <c r="R94" i="2"/>
  <c r="R52" i="2"/>
  <c r="R54" i="2" s="1"/>
  <c r="Q6" i="2"/>
  <c r="Q9" i="2" s="1"/>
  <c r="M6" i="2"/>
  <c r="M9" i="2" s="1"/>
  <c r="M29" i="2" s="1"/>
  <c r="AG94" i="2"/>
  <c r="AG92" i="2"/>
  <c r="AG31" i="2"/>
  <c r="N94" i="2"/>
  <c r="I6" i="2"/>
  <c r="AD16" i="2"/>
  <c r="I9" i="2"/>
  <c r="I12" i="2" s="1"/>
  <c r="I24" i="2" s="1"/>
  <c r="N29" i="2"/>
  <c r="M15" i="2"/>
  <c r="R24" i="2"/>
  <c r="R16" i="2"/>
  <c r="Q29" i="2"/>
  <c r="Q12" i="2"/>
  <c r="Q24" i="2" s="1"/>
  <c r="R29" i="2"/>
  <c r="E5" i="2"/>
  <c r="E6" i="2" s="1"/>
  <c r="E9" i="2" s="1"/>
  <c r="AG2" i="2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B24" i="2"/>
  <c r="AB12" i="2"/>
  <c r="AB16" i="2" s="1"/>
  <c r="AC29" i="2"/>
  <c r="AC24" i="2"/>
  <c r="AC12" i="2"/>
  <c r="AC16" i="2" s="1"/>
  <c r="AC18" i="2" s="1"/>
  <c r="AD29" i="2"/>
  <c r="AE29" i="2"/>
  <c r="B16" i="2"/>
  <c r="B24" i="2"/>
  <c r="F29" i="2"/>
  <c r="F12" i="2"/>
  <c r="J29" i="2"/>
  <c r="C12" i="2"/>
  <c r="G29" i="2"/>
  <c r="G12" i="2"/>
  <c r="K29" i="2"/>
  <c r="D12" i="2"/>
  <c r="H29" i="2"/>
  <c r="H12" i="2"/>
  <c r="L29" i="2"/>
  <c r="J12" i="2"/>
  <c r="K12" i="2"/>
  <c r="O29" i="2"/>
  <c r="O12" i="2"/>
  <c r="L12" i="2"/>
  <c r="P12" i="2"/>
  <c r="AE12" i="2"/>
  <c r="AE16" i="2" s="1"/>
  <c r="AF29" i="2"/>
  <c r="AF12" i="2"/>
  <c r="AF16" i="2" s="1"/>
  <c r="AG29" i="2"/>
  <c r="AG24" i="2"/>
  <c r="AG16" i="2"/>
  <c r="N12" i="2"/>
  <c r="M12" i="2" l="1"/>
  <c r="M24" i="2" s="1"/>
  <c r="I16" i="2"/>
  <c r="E12" i="2"/>
  <c r="I29" i="2"/>
  <c r="Q16" i="2"/>
  <c r="R18" i="2"/>
  <c r="R25" i="2"/>
  <c r="I25" i="2"/>
  <c r="I18" i="2"/>
  <c r="AC25" i="2"/>
  <c r="AB25" i="2"/>
  <c r="AB18" i="2"/>
  <c r="AC27" i="2"/>
  <c r="AC20" i="2"/>
  <c r="AD24" i="2"/>
  <c r="B25" i="2"/>
  <c r="B18" i="2"/>
  <c r="F24" i="2"/>
  <c r="F16" i="2"/>
  <c r="C16" i="2"/>
  <c r="C24" i="2"/>
  <c r="G24" i="2"/>
  <c r="G16" i="2"/>
  <c r="D24" i="2"/>
  <c r="D16" i="2"/>
  <c r="H24" i="2"/>
  <c r="H16" i="2"/>
  <c r="J24" i="2"/>
  <c r="J16" i="2"/>
  <c r="K16" i="2"/>
  <c r="K24" i="2"/>
  <c r="O16" i="2"/>
  <c r="O24" i="2"/>
  <c r="L16" i="2"/>
  <c r="L24" i="2"/>
  <c r="P16" i="2"/>
  <c r="P24" i="2"/>
  <c r="AE24" i="2"/>
  <c r="AF24" i="2"/>
  <c r="AG18" i="2"/>
  <c r="AG25" i="2"/>
  <c r="N16" i="2"/>
  <c r="N24" i="2"/>
  <c r="M16" i="2" l="1"/>
  <c r="I27" i="2"/>
  <c r="I20" i="2"/>
  <c r="E24" i="2"/>
  <c r="E16" i="2"/>
  <c r="M18" i="2"/>
  <c r="M25" i="2"/>
  <c r="R27" i="2"/>
  <c r="R20" i="2"/>
  <c r="R59" i="2" s="1"/>
  <c r="Q18" i="2"/>
  <c r="Q25" i="2"/>
  <c r="AB27" i="2"/>
  <c r="AB20" i="2"/>
  <c r="AC26" i="2"/>
  <c r="AC21" i="2"/>
  <c r="AD25" i="2"/>
  <c r="AD18" i="2"/>
  <c r="B27" i="2"/>
  <c r="B20" i="2"/>
  <c r="F18" i="2"/>
  <c r="F25" i="2"/>
  <c r="C18" i="2"/>
  <c r="C25" i="2"/>
  <c r="G18" i="2"/>
  <c r="G25" i="2"/>
  <c r="D25" i="2"/>
  <c r="D18" i="2"/>
  <c r="H18" i="2"/>
  <c r="H25" i="2"/>
  <c r="J25" i="2"/>
  <c r="J18" i="2"/>
  <c r="K18" i="2"/>
  <c r="K25" i="2"/>
  <c r="O18" i="2"/>
  <c r="O25" i="2"/>
  <c r="L25" i="2"/>
  <c r="L18" i="2"/>
  <c r="P18" i="2"/>
  <c r="P25" i="2"/>
  <c r="AE25" i="2"/>
  <c r="AE18" i="2"/>
  <c r="AF25" i="2"/>
  <c r="AF18" i="2"/>
  <c r="AG27" i="2"/>
  <c r="AG20" i="2"/>
  <c r="AG59" i="2" s="1"/>
  <c r="N18" i="2"/>
  <c r="N25" i="2"/>
  <c r="R26" i="2" l="1"/>
  <c r="R21" i="2"/>
  <c r="Q20" i="2"/>
  <c r="Q27" i="2"/>
  <c r="M20" i="2"/>
  <c r="M27" i="2"/>
  <c r="E25" i="2"/>
  <c r="E18" i="2"/>
  <c r="I26" i="2"/>
  <c r="I21" i="2"/>
  <c r="AB26" i="2"/>
  <c r="AB21" i="2"/>
  <c r="AD27" i="2"/>
  <c r="AD20" i="2"/>
  <c r="B26" i="2"/>
  <c r="B21" i="2"/>
  <c r="F27" i="2"/>
  <c r="F20" i="2"/>
  <c r="C27" i="2"/>
  <c r="C20" i="2"/>
  <c r="G27" i="2"/>
  <c r="G20" i="2"/>
  <c r="D27" i="2"/>
  <c r="D20" i="2"/>
  <c r="H27" i="2"/>
  <c r="H20" i="2"/>
  <c r="J27" i="2"/>
  <c r="J20" i="2"/>
  <c r="J21" i="2" s="1"/>
  <c r="K27" i="2"/>
  <c r="K20" i="2"/>
  <c r="O20" i="2"/>
  <c r="O27" i="2"/>
  <c r="L27" i="2"/>
  <c r="L20" i="2"/>
  <c r="P27" i="2"/>
  <c r="P20" i="2"/>
  <c r="AE27" i="2"/>
  <c r="AE20" i="2"/>
  <c r="AF27" i="2"/>
  <c r="AF20" i="2"/>
  <c r="AG26" i="2"/>
  <c r="AG21" i="2"/>
  <c r="N27" i="2"/>
  <c r="N20" i="2"/>
  <c r="N59" i="2" s="1"/>
  <c r="Q56" i="2" l="1"/>
  <c r="Q57" i="2" s="1"/>
  <c r="R56" i="2"/>
  <c r="R57" i="2" s="1"/>
  <c r="E20" i="2"/>
  <c r="E27" i="2"/>
  <c r="M26" i="2"/>
  <c r="M21" i="2"/>
  <c r="Q21" i="2"/>
  <c r="Q26" i="2"/>
  <c r="AD26" i="2"/>
  <c r="AD21" i="2"/>
  <c r="F26" i="2"/>
  <c r="F21" i="2"/>
  <c r="C26" i="2"/>
  <c r="C21" i="2"/>
  <c r="G26" i="2"/>
  <c r="G21" i="2"/>
  <c r="D26" i="2"/>
  <c r="D21" i="2"/>
  <c r="H26" i="2"/>
  <c r="H21" i="2"/>
  <c r="J26" i="2"/>
  <c r="K26" i="2"/>
  <c r="K21" i="2"/>
  <c r="O26" i="2"/>
  <c r="O21" i="2"/>
  <c r="L26" i="2"/>
  <c r="L21" i="2"/>
  <c r="P26" i="2"/>
  <c r="P21" i="2"/>
  <c r="AE26" i="2"/>
  <c r="AE21" i="2"/>
  <c r="AF21" i="2"/>
  <c r="AF26" i="2"/>
  <c r="N26" i="2"/>
  <c r="N21" i="2"/>
  <c r="E26" i="2" l="1"/>
  <c r="E21" i="2"/>
</calcChain>
</file>

<file path=xl/sharedStrings.xml><?xml version="1.0" encoding="utf-8"?>
<sst xmlns="http://schemas.openxmlformats.org/spreadsheetml/2006/main" count="108" uniqueCount="93">
  <si>
    <t>Revenue</t>
  </si>
  <si>
    <t>Gross profit</t>
  </si>
  <si>
    <t>SG&amp;A</t>
  </si>
  <si>
    <t>Operating expense</t>
  </si>
  <si>
    <t>Operating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</si>
  <si>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</si>
  <si>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</si>
  <si>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</si>
  <si>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</si>
  <si>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</si>
  <si>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</si>
  <si>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</si>
  <si>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</si>
  <si>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</si>
  <si>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</si>
  <si>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</si>
  <si>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</si>
  <si>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</si>
  <si>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</si>
  <si>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</si>
  <si>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</si>
  <si>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</si>
  <si>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</si>
  <si>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</si>
  <si>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</si>
  <si>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</si>
  <si>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</si>
  <si>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</si>
  <si>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</si>
  <si>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</si>
  <si>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</si>
  <si>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</si>
  <si>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</si>
  <si>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</si>
  <si>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</si>
  <si>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</si>
  <si>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Q125</t>
  </si>
  <si>
    <t>Postpaid</t>
  </si>
  <si>
    <t>Prepaid</t>
  </si>
  <si>
    <t>Wholesale</t>
  </si>
  <si>
    <t>Service revenue</t>
  </si>
  <si>
    <t>Equipment</t>
  </si>
  <si>
    <t>Other</t>
  </si>
  <si>
    <t>COGS service</t>
  </si>
  <si>
    <t>COGS Equipment</t>
  </si>
  <si>
    <t>D&amp;A</t>
  </si>
  <si>
    <t>Interest</t>
  </si>
  <si>
    <t>Net cash</t>
  </si>
  <si>
    <t>AR</t>
  </si>
  <si>
    <t>Equipment receivables</t>
  </si>
  <si>
    <t>Inventory</t>
  </si>
  <si>
    <t>PP&amp;E</t>
  </si>
  <si>
    <t>Lease</t>
  </si>
  <si>
    <t>Goodwill</t>
  </si>
  <si>
    <t>Equipment due</t>
  </si>
  <si>
    <t>Assets</t>
  </si>
  <si>
    <t>AP</t>
  </si>
  <si>
    <t>DR</t>
  </si>
  <si>
    <t>OCL</t>
  </si>
  <si>
    <t>Obligations</t>
  </si>
  <si>
    <t>DT</t>
  </si>
  <si>
    <t>ONCL</t>
  </si>
  <si>
    <t>Liablities</t>
  </si>
  <si>
    <t>S/E</t>
  </si>
  <si>
    <t>L+S/E</t>
  </si>
  <si>
    <t>NI TTM</t>
  </si>
  <si>
    <t>ROTA</t>
  </si>
  <si>
    <t>ONCA</t>
  </si>
  <si>
    <t>OCA</t>
  </si>
  <si>
    <t>Model NI</t>
  </si>
  <si>
    <t>Reported NI</t>
  </si>
  <si>
    <t>SBC</t>
  </si>
  <si>
    <t>Bad debt</t>
  </si>
  <si>
    <t>Losses from sales</t>
  </si>
  <si>
    <t>EQ reveivables</t>
  </si>
  <si>
    <t>Lease liabilties</t>
  </si>
  <si>
    <t>ROU assets</t>
  </si>
  <si>
    <t>Other assets</t>
  </si>
  <si>
    <t>Other liabilties</t>
  </si>
  <si>
    <t>CFFO</t>
  </si>
  <si>
    <t>WC</t>
  </si>
  <si>
    <t>Purchases licenses &amp; other</t>
  </si>
  <si>
    <t>Beneficial interest</t>
  </si>
  <si>
    <t>Acquisition</t>
  </si>
  <si>
    <t>CFFI</t>
  </si>
  <si>
    <t>Buybacks</t>
  </si>
  <si>
    <t>Dividends</t>
  </si>
  <si>
    <t>SBP tax w/h</t>
  </si>
  <si>
    <t>CFFF</t>
  </si>
  <si>
    <t>CIC</t>
  </si>
  <si>
    <t>FCF</t>
  </si>
  <si>
    <t>TTM</t>
  </si>
  <si>
    <t>Sale tower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</si>
</sst>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/mm/yy;@"/>
    <numFmt numFmtId="168" formatCode="0\x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3" fontId="0" fillId="0" borderId="0" xfId="0" applyNumberFormat="1" applyAlignment="1"/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0" fontId="1" fillId="0" borderId="0" xfId="0" applyNumberFormat="1" applyFont="1"/>
    <xf numFmtId="9" fontId="1" fillId="0" borderId="0" xfId="0" applyNumberFormat="1" applyFont="1"/>
    <xf numFmtId="3" fontId="1" fillId="0" borderId="0" xfId="0" applyNumberFormat="1" applyFont="1" applyAlignment="1">
      <alignment horizontal="left" indent="1"/>
    </xf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19050</xdr:rowOff>
    </xdr:from>
    <xdr:to>
      <xdr:col>18</xdr:col>
      <xdr:colOff>19050</xdr:colOff>
      <xdr:row>101</xdr:row>
      <xdr:rowOff>142875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DB50822-3B68-4C3B-8D11-EC554A1DEB4E}"/>
            </a:ext>
          </a:extLst>
        </xdr:cNvPr>
        <xdr:cNvCxnSpPr/>
      </xdr:nvCxnSpPr>
      <xdr:spPr>
        <a:xfrm>
          <a:off x="11572875" y="19050"/>
          <a:ext cx="0" cy="1631632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38100</xdr:colOff>
      <xdr:row>0</xdr:row>
      <xdr:rowOff>0</xdr:rowOff>
    </xdr:from>
    <xdr:to>
      <xdr:col>33</xdr:col>
      <xdr:colOff>38100</xdr:colOff>
      <xdr:row>100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2997D97-2CB7-48FD-B44A-F9FD107D65FD}"/>
            </a:ext>
          </a:extLst>
        </xdr:cNvPr>
        <xdr:cNvCxnSpPr/>
      </xdr:nvCxnSpPr>
      <xdr:spPr>
        <a:xfrm>
          <a:off x="20735925" y="0"/>
          <a:ext cx="0" cy="1603057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BBF6-D980-448D-A440-B5F82D57A1D7}">
  <dimension ref="K3:L10"/>
  <sheetViews>
    <sheetView tabSelected="1" workbookViewId="0">
      <selection activeCell="G14" sqref="G14"/>
    </sheetView>
  </sheetViews>
  <sheetFormatPr defaultRowHeight="12.75" x14ac:dyDescent="0.2"/>
  <sheetData>
    <row r="3" spans="11:12" x14ac:dyDescent="0.2">
      <c r="K3" t="s">
        <v>31</v>
      </c>
      <c r="L3">
        <v>248.88</v>
      </c>
    </row>
    <row r="4" spans="11:12" x14ac:dyDescent="0.2">
      <c r="K4" t="s">
        <v>9</v>
      </c>
      <c r="L4" s="1">
        <v>1135.4451079999999</v>
      </c>
    </row>
    <row r="5" spans="11:12" x14ac:dyDescent="0.2">
      <c r="K5" t="s">
        <v>32</v>
      </c>
      <c r="L5" s="1">
        <f>+L3*L4</f>
        <v>282589.57847903995</v>
      </c>
    </row>
    <row r="6" spans="11:12" x14ac:dyDescent="0.2">
      <c r="K6" t="s">
        <v>33</v>
      </c>
      <c r="L6" s="1">
        <v>12003</v>
      </c>
    </row>
    <row r="7" spans="11:12" x14ac:dyDescent="0.2">
      <c r="K7" t="s">
        <v>34</v>
      </c>
      <c r="L7" s="1">
        <f>8214+76033+1497</f>
        <v>85744</v>
      </c>
    </row>
    <row r="8" spans="11:12" x14ac:dyDescent="0.2">
      <c r="K8" t="s">
        <v>35</v>
      </c>
      <c r="L8" s="1">
        <f>+L5-L6+L7</f>
        <v>356330.57847903995</v>
      </c>
    </row>
    <row r="9" spans="11:12" x14ac:dyDescent="0.2">
      <c r="L9" s="1">
        <v>11871</v>
      </c>
    </row>
    <row r="10" spans="11:12" x14ac:dyDescent="0.2">
      <c r="L10" s="13">
        <f>+L8/L9</f>
        <v>30.016896510743827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E208-EE3E-43C1-AB87-8A5E334CB276}">
  <dimension ref="A1:AQ95"/>
  <sheetViews>
    <sheetView workbookViewId="0">
      <pane xSplit="1" ySplit="2" topLeftCell="J37" activePane="bottomRight" state="frozen"/>
      <selection pane="topRight" activeCell="B1" sqref="B1"/>
      <selection pane="bottomLeft" activeCell="A3" sqref="A3"/>
      <selection pane="bottomRight" activeCell="R56" sqref="R56"/>
    </sheetView>
  </sheetViews>
  <sheetFormatPr defaultRowHeight="12.75" x14ac:dyDescent="0.2"/>
  <cols>
    <col min="1" max="1" width="17.85546875" style="1" bestFit="1" customWidth="1"/>
    <col min="2" max="2" width="9.140625" style="1" customWidth="1"/>
    <col min="3" max="16384" width="9.140625" style="1"/>
  </cols>
  <sheetData>
    <row r="1" spans="1:43" s="12" customFormat="1" x14ac:dyDescent="0.2">
      <c r="B1" s="12">
        <v>44286</v>
      </c>
      <c r="C1" s="12">
        <v>44377</v>
      </c>
      <c r="D1" s="12">
        <v>44469</v>
      </c>
      <c r="E1" s="12">
        <v>44561</v>
      </c>
      <c r="F1" s="12">
        <v>44651</v>
      </c>
      <c r="G1" s="12">
        <v>44742</v>
      </c>
      <c r="H1" s="12">
        <v>44834</v>
      </c>
      <c r="I1" s="12">
        <v>44926</v>
      </c>
      <c r="J1" s="12">
        <v>45016</v>
      </c>
      <c r="K1" s="12">
        <v>45107</v>
      </c>
      <c r="L1" s="12">
        <v>45199</v>
      </c>
      <c r="M1" s="12">
        <v>45291</v>
      </c>
      <c r="N1" s="12">
        <v>45382</v>
      </c>
      <c r="O1" s="12">
        <v>45473</v>
      </c>
      <c r="P1" s="12">
        <v>45565</v>
      </c>
      <c r="Q1" s="12">
        <v>45657</v>
      </c>
      <c r="R1" s="12">
        <v>45747</v>
      </c>
      <c r="AB1" s="12">
        <v>43830</v>
      </c>
      <c r="AC1" s="12">
        <v>44196</v>
      </c>
      <c r="AD1" s="12">
        <v>44561</v>
      </c>
      <c r="AE1" s="12">
        <v>44926</v>
      </c>
      <c r="AF1" s="12">
        <v>45291</v>
      </c>
      <c r="AG1" s="12">
        <v>45657</v>
      </c>
    </row>
    <row r="2" spans="1:43" x14ac:dyDescent="0.2">
      <c r="A2" s="3"/>
      <c r="B2" s="3" t="s">
        <v>15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16</v>
      </c>
      <c r="H2" s="3" t="s">
        <v>17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36</v>
      </c>
      <c r="S2" s="3"/>
      <c r="T2" s="3"/>
      <c r="U2" s="3"/>
      <c r="W2" s="2">
        <v>2014</v>
      </c>
      <c r="X2" s="2">
        <f>+W2+1</f>
        <v>2015</v>
      </c>
      <c r="Y2" s="2">
        <f t="shared" ref="Y2:AR2" si="0">+X2+1</f>
        <v>2016</v>
      </c>
      <c r="Z2" s="2">
        <f t="shared" si="0"/>
        <v>2017</v>
      </c>
      <c r="AA2" s="2">
        <f t="shared" si="0"/>
        <v>2018</v>
      </c>
      <c r="AB2" s="2">
        <f t="shared" si="0"/>
        <v>2019</v>
      </c>
      <c r="AC2" s="2">
        <f t="shared" si="0"/>
        <v>2020</v>
      </c>
      <c r="AD2" s="2">
        <f t="shared" si="0"/>
        <v>2021</v>
      </c>
      <c r="AE2" s="2">
        <f t="shared" si="0"/>
        <v>2022</v>
      </c>
      <c r="AF2" s="2">
        <f t="shared" si="0"/>
        <v>2023</v>
      </c>
      <c r="AG2" s="2">
        <f t="shared" si="0"/>
        <v>2024</v>
      </c>
      <c r="AH2" s="2">
        <f t="shared" si="0"/>
        <v>2025</v>
      </c>
      <c r="AI2" s="2">
        <f t="shared" si="0"/>
        <v>2026</v>
      </c>
      <c r="AJ2" s="2">
        <f t="shared" si="0"/>
        <v>2027</v>
      </c>
      <c r="AK2" s="2">
        <f t="shared" si="0"/>
        <v>2028</v>
      </c>
      <c r="AL2" s="2">
        <f t="shared" si="0"/>
        <v>2029</v>
      </c>
      <c r="AM2" s="2">
        <f t="shared" si="0"/>
        <v>2030</v>
      </c>
      <c r="AN2" s="2">
        <f t="shared" si="0"/>
        <v>2031</v>
      </c>
      <c r="AO2" s="2">
        <f t="shared" si="0"/>
        <v>2032</v>
      </c>
      <c r="AP2" s="2">
        <f t="shared" si="0"/>
        <v>2033</v>
      </c>
      <c r="AQ2" s="2">
        <f t="shared" si="0"/>
        <v>2034</v>
      </c>
    </row>
    <row r="3" spans="1:43" x14ac:dyDescent="0.2">
      <c r="A3" s="6" t="s">
        <v>37</v>
      </c>
      <c r="B3" s="3">
        <v>10303</v>
      </c>
      <c r="C3" s="3">
        <v>10492</v>
      </c>
      <c r="D3" s="3">
        <v>10804</v>
      </c>
      <c r="E3" s="3">
        <f>+AD3-SUM(B3:D3)</f>
        <v>10963</v>
      </c>
      <c r="F3" s="3">
        <v>11201</v>
      </c>
      <c r="G3" s="3">
        <v>11445</v>
      </c>
      <c r="H3" s="3">
        <v>11548</v>
      </c>
      <c r="I3" s="3">
        <f>+AE3-SUM(F3:H3)</f>
        <v>11725</v>
      </c>
      <c r="J3" s="3">
        <v>11862</v>
      </c>
      <c r="K3" s="3">
        <v>12070</v>
      </c>
      <c r="L3" s="3">
        <v>12288</v>
      </c>
      <c r="M3" s="1">
        <f>+AF3-SUM(J3:L3)</f>
        <v>12472</v>
      </c>
      <c r="N3" s="3">
        <v>12631</v>
      </c>
      <c r="O3" s="3">
        <v>12899</v>
      </c>
      <c r="P3" s="3">
        <v>13308</v>
      </c>
      <c r="Q3" s="1">
        <f>+AG3-SUM(N3:P3)</f>
        <v>13502</v>
      </c>
      <c r="R3" s="3">
        <v>13594</v>
      </c>
      <c r="S3" s="3"/>
      <c r="T3" s="3"/>
      <c r="U3" s="3"/>
      <c r="W3" s="2"/>
      <c r="X3" s="2"/>
      <c r="Y3" s="2"/>
      <c r="Z3" s="2"/>
      <c r="AA3" s="2"/>
      <c r="AB3" s="3">
        <v>22673</v>
      </c>
      <c r="AC3" s="3">
        <v>36306</v>
      </c>
      <c r="AD3" s="3">
        <v>42562</v>
      </c>
      <c r="AE3" s="3">
        <v>45919</v>
      </c>
      <c r="AF3" s="3">
        <v>48692</v>
      </c>
      <c r="AG3" s="3">
        <v>52340</v>
      </c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x14ac:dyDescent="0.2">
      <c r="A4" s="6" t="s">
        <v>38</v>
      </c>
      <c r="B4" s="3">
        <v>2351</v>
      </c>
      <c r="C4" s="3">
        <v>2427</v>
      </c>
      <c r="D4" s="3">
        <v>2481</v>
      </c>
      <c r="E4" s="3">
        <f>+AD4-SUM(B4:D4)</f>
        <v>2474</v>
      </c>
      <c r="F4" s="3">
        <v>2455</v>
      </c>
      <c r="G4" s="3">
        <v>2469</v>
      </c>
      <c r="H4" s="3">
        <v>2484</v>
      </c>
      <c r="I4" s="3">
        <f t="shared" ref="I4:I14" si="1">+AE4-SUM(F4:H4)</f>
        <v>2449</v>
      </c>
      <c r="J4" s="3">
        <v>2417</v>
      </c>
      <c r="K4" s="3">
        <v>2444</v>
      </c>
      <c r="L4" s="3">
        <v>2473</v>
      </c>
      <c r="M4" s="1">
        <f t="shared" ref="M4:M14" si="2">+AF4-SUM(J4:L4)</f>
        <v>2433</v>
      </c>
      <c r="N4" s="3">
        <v>2403</v>
      </c>
      <c r="O4" s="3">
        <v>2592</v>
      </c>
      <c r="P4" s="3">
        <v>2716</v>
      </c>
      <c r="Q4" s="1">
        <f t="shared" ref="Q4:Q14" si="3">+AG4-SUM(N4:P4)</f>
        <v>2688</v>
      </c>
      <c r="R4" s="3">
        <v>2643</v>
      </c>
      <c r="S4" s="3"/>
      <c r="T4" s="3"/>
      <c r="U4" s="3"/>
      <c r="W4" s="2"/>
      <c r="X4" s="2"/>
      <c r="Y4" s="2"/>
      <c r="Z4" s="2"/>
      <c r="AA4" s="2"/>
      <c r="AB4" s="3">
        <v>9543</v>
      </c>
      <c r="AC4" s="3">
        <v>9421</v>
      </c>
      <c r="AD4" s="3">
        <v>9733</v>
      </c>
      <c r="AE4" s="3">
        <v>9857</v>
      </c>
      <c r="AF4" s="3">
        <v>9767</v>
      </c>
      <c r="AG4" s="3">
        <v>10399</v>
      </c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2">
      <c r="A5" s="6" t="s">
        <v>39</v>
      </c>
      <c r="B5" s="3">
        <v>1538</v>
      </c>
      <c r="C5" s="3">
        <v>1573</v>
      </c>
      <c r="D5" s="3">
        <v>1437</v>
      </c>
      <c r="E5" s="3">
        <f>+AD5-SUM(B5:D5)</f>
        <v>1526</v>
      </c>
      <c r="F5" s="3">
        <v>1472</v>
      </c>
      <c r="G5" s="3">
        <v>1402</v>
      </c>
      <c r="H5" s="3">
        <v>1329</v>
      </c>
      <c r="I5" s="3">
        <f t="shared" si="1"/>
        <v>1344</v>
      </c>
      <c r="J5" s="3">
        <v>1267</v>
      </c>
      <c r="K5" s="3">
        <v>1224</v>
      </c>
      <c r="L5" s="3">
        <v>1153</v>
      </c>
      <c r="M5" s="1">
        <f t="shared" si="2"/>
        <v>1138</v>
      </c>
      <c r="N5" s="3">
        <v>1062</v>
      </c>
      <c r="O5" s="3">
        <v>938</v>
      </c>
      <c r="P5" s="3">
        <v>701</v>
      </c>
      <c r="Q5" s="1">
        <f t="shared" si="3"/>
        <v>738</v>
      </c>
      <c r="R5" s="3">
        <v>688</v>
      </c>
      <c r="S5" s="3"/>
      <c r="T5" s="3"/>
      <c r="U5" s="3"/>
      <c r="W5" s="2"/>
      <c r="X5" s="2"/>
      <c r="Y5" s="2"/>
      <c r="Z5" s="2"/>
      <c r="AA5" s="2"/>
      <c r="AB5" s="3">
        <f>1279+1005</f>
        <v>2284</v>
      </c>
      <c r="AC5" s="3">
        <f>2590+2078</f>
        <v>4668</v>
      </c>
      <c r="AD5" s="3">
        <f>3751+2323</f>
        <v>6074</v>
      </c>
      <c r="AE5" s="3">
        <v>5547</v>
      </c>
      <c r="AF5" s="3">
        <v>4782</v>
      </c>
      <c r="AG5" s="3">
        <v>3439</v>
      </c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s="8" customFormat="1" x14ac:dyDescent="0.2">
      <c r="A6" s="11" t="s">
        <v>40</v>
      </c>
      <c r="B6" s="7">
        <f>+SUM(B3:B5)</f>
        <v>14192</v>
      </c>
      <c r="C6" s="7">
        <f>+SUM(C3:C5)</f>
        <v>14492</v>
      </c>
      <c r="D6" s="7">
        <f>+SUM(D3:D5)</f>
        <v>14722</v>
      </c>
      <c r="E6" s="7">
        <f>+SUM(E3:E5)</f>
        <v>14963</v>
      </c>
      <c r="F6" s="7">
        <f>+SUM(F3:F5)</f>
        <v>15128</v>
      </c>
      <c r="G6" s="7">
        <f>+SUM(G3:G5)</f>
        <v>15316</v>
      </c>
      <c r="H6" s="7">
        <f>+SUM(H3:H5)</f>
        <v>15361</v>
      </c>
      <c r="I6" s="7">
        <f>+SUM(I3:I5)</f>
        <v>15518</v>
      </c>
      <c r="J6" s="7">
        <f>+SUM(J3:J5)</f>
        <v>15546</v>
      </c>
      <c r="K6" s="7">
        <f>+SUM(K3:K5)</f>
        <v>15738</v>
      </c>
      <c r="L6" s="7">
        <f>+SUM(L3:L5)</f>
        <v>15914</v>
      </c>
      <c r="M6" s="7">
        <f>+SUM(M3:M5)</f>
        <v>16043</v>
      </c>
      <c r="N6" s="7">
        <f>+SUM(N3:N5)</f>
        <v>16096</v>
      </c>
      <c r="O6" s="7">
        <f>+SUM(O3:O5)</f>
        <v>16429</v>
      </c>
      <c r="P6" s="7">
        <f>+SUM(P3:P5)</f>
        <v>16725</v>
      </c>
      <c r="Q6" s="7">
        <f>+SUM(Q3:Q5)</f>
        <v>16928</v>
      </c>
      <c r="R6" s="7">
        <f>+SUM(R3:R5)</f>
        <v>16925</v>
      </c>
      <c r="S6" s="7"/>
      <c r="T6" s="7"/>
      <c r="U6" s="7"/>
      <c r="W6" s="9"/>
      <c r="X6" s="9"/>
      <c r="Y6" s="9"/>
      <c r="Z6" s="9"/>
      <c r="AA6" s="9"/>
      <c r="AB6" s="7">
        <f>+SUM(AB3:AB5)</f>
        <v>34500</v>
      </c>
      <c r="AC6" s="7">
        <f>+SUM(AC3:AC5)</f>
        <v>50395</v>
      </c>
      <c r="AD6" s="7">
        <f>+SUM(AD3:AD5)</f>
        <v>58369</v>
      </c>
      <c r="AE6" s="7">
        <f>+SUM(AE3:AE5)</f>
        <v>61323</v>
      </c>
      <c r="AF6" s="7">
        <f>+SUM(AF3:AF5)</f>
        <v>63241</v>
      </c>
      <c r="AG6" s="7">
        <f>+SUM(AG3:AG5)</f>
        <v>66178</v>
      </c>
      <c r="AH6" s="9"/>
      <c r="AI6" s="9"/>
      <c r="AJ6" s="9"/>
      <c r="AK6" s="9"/>
      <c r="AL6" s="9"/>
      <c r="AM6" s="9"/>
      <c r="AN6" s="9"/>
      <c r="AO6" s="9"/>
      <c r="AP6" s="9"/>
      <c r="AQ6" s="9"/>
    </row>
    <row r="7" spans="1:43" x14ac:dyDescent="0.2">
      <c r="A7" s="6" t="s">
        <v>41</v>
      </c>
      <c r="B7" s="3">
        <v>5346</v>
      </c>
      <c r="C7" s="3">
        <v>5215</v>
      </c>
      <c r="D7" s="3">
        <v>4660</v>
      </c>
      <c r="E7" s="3">
        <f t="shared" ref="E7:E14" si="4">+AD7-SUM(B7:D7)</f>
        <v>5506</v>
      </c>
      <c r="F7" s="3">
        <v>4694</v>
      </c>
      <c r="G7" s="3">
        <v>4130</v>
      </c>
      <c r="H7" s="3">
        <v>3855</v>
      </c>
      <c r="I7" s="3">
        <f t="shared" si="1"/>
        <v>4451</v>
      </c>
      <c r="J7" s="3">
        <v>3719</v>
      </c>
      <c r="K7" s="3">
        <v>3169</v>
      </c>
      <c r="L7" s="3">
        <v>3076</v>
      </c>
      <c r="M7" s="1">
        <f t="shared" si="2"/>
        <v>4174</v>
      </c>
      <c r="N7" s="3">
        <v>3251</v>
      </c>
      <c r="O7" s="3">
        <v>3106</v>
      </c>
      <c r="P7" s="3">
        <v>3207</v>
      </c>
      <c r="Q7" s="1">
        <f t="shared" si="3"/>
        <v>4699</v>
      </c>
      <c r="R7" s="3">
        <v>3704</v>
      </c>
      <c r="S7" s="3"/>
      <c r="T7" s="3"/>
      <c r="U7" s="3"/>
      <c r="W7" s="2"/>
      <c r="X7" s="2"/>
      <c r="Y7" s="2"/>
      <c r="Z7" s="2"/>
      <c r="AA7" s="2"/>
      <c r="AB7" s="3">
        <v>9840</v>
      </c>
      <c r="AC7" s="3">
        <v>17312</v>
      </c>
      <c r="AD7" s="3">
        <v>20727</v>
      </c>
      <c r="AE7" s="3">
        <v>17130</v>
      </c>
      <c r="AF7" s="3">
        <v>14138</v>
      </c>
      <c r="AG7" s="3">
        <v>14263</v>
      </c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x14ac:dyDescent="0.2">
      <c r="A8" s="6" t="s">
        <v>42</v>
      </c>
      <c r="B8" s="3">
        <v>221</v>
      </c>
      <c r="C8" s="3">
        <v>243</v>
      </c>
      <c r="D8" s="3">
        <v>242</v>
      </c>
      <c r="E8" s="3">
        <f t="shared" si="4"/>
        <v>316</v>
      </c>
      <c r="F8" s="3">
        <v>298</v>
      </c>
      <c r="G8" s="3">
        <v>255</v>
      </c>
      <c r="H8" s="3">
        <v>261</v>
      </c>
      <c r="I8" s="3">
        <f t="shared" si="1"/>
        <v>304</v>
      </c>
      <c r="J8" s="3">
        <v>367</v>
      </c>
      <c r="K8" s="3">
        <v>289</v>
      </c>
      <c r="L8" s="3">
        <v>262</v>
      </c>
      <c r="M8" s="1">
        <f t="shared" si="2"/>
        <v>261</v>
      </c>
      <c r="N8" s="3">
        <v>247</v>
      </c>
      <c r="O8" s="3">
        <v>237</v>
      </c>
      <c r="P8" s="3">
        <v>230</v>
      </c>
      <c r="Q8" s="1">
        <f t="shared" si="3"/>
        <v>245</v>
      </c>
      <c r="R8" s="3">
        <v>257</v>
      </c>
      <c r="S8" s="3"/>
      <c r="T8" s="3"/>
      <c r="U8" s="3"/>
      <c r="W8" s="2"/>
      <c r="X8" s="2"/>
      <c r="Y8" s="2"/>
      <c r="Z8" s="2"/>
      <c r="AA8" s="2"/>
      <c r="AB8" s="3">
        <v>658</v>
      </c>
      <c r="AC8" s="3">
        <v>690</v>
      </c>
      <c r="AD8" s="3">
        <v>1022</v>
      </c>
      <c r="AE8" s="3">
        <v>1118</v>
      </c>
      <c r="AF8" s="3">
        <v>1179</v>
      </c>
      <c r="AG8" s="3">
        <v>959</v>
      </c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s="8" customFormat="1" x14ac:dyDescent="0.2">
      <c r="A9" s="8" t="s">
        <v>0</v>
      </c>
      <c r="B9" s="8">
        <f>+SUM(B6:B8)</f>
        <v>19759</v>
      </c>
      <c r="C9" s="8">
        <f>+SUM(C6:C8)</f>
        <v>19950</v>
      </c>
      <c r="D9" s="8">
        <f>+SUM(D6:D8)</f>
        <v>19624</v>
      </c>
      <c r="E9" s="8">
        <f>+SUM(E6:E8)</f>
        <v>20785</v>
      </c>
      <c r="F9" s="8">
        <f>+SUM(F6:F8)</f>
        <v>20120</v>
      </c>
      <c r="G9" s="8">
        <f>+SUM(G6:G8)</f>
        <v>19701</v>
      </c>
      <c r="H9" s="8">
        <f>+SUM(H6:H8)</f>
        <v>19477</v>
      </c>
      <c r="I9" s="8">
        <f>+SUM(I6:I8)</f>
        <v>20273</v>
      </c>
      <c r="J9" s="8">
        <f>+SUM(J6:J8)</f>
        <v>19632</v>
      </c>
      <c r="K9" s="8">
        <f>+SUM(K6:K8)</f>
        <v>19196</v>
      </c>
      <c r="L9" s="8">
        <f>+SUM(L6:L8)</f>
        <v>19252</v>
      </c>
      <c r="M9" s="8">
        <f>+SUM(M6:M8)</f>
        <v>20478</v>
      </c>
      <c r="N9" s="8">
        <f>+SUM(N6:N8)</f>
        <v>19594</v>
      </c>
      <c r="O9" s="8">
        <f>+SUM(O6:O8)</f>
        <v>19772</v>
      </c>
      <c r="P9" s="8">
        <f>+SUM(P6:P8)</f>
        <v>20162</v>
      </c>
      <c r="Q9" s="8">
        <f>+SUM(Q6:Q8)</f>
        <v>21872</v>
      </c>
      <c r="R9" s="8">
        <f>+SUM(R6:R8)</f>
        <v>20886</v>
      </c>
      <c r="AB9" s="8">
        <f>+SUM(AB6:AB8)</f>
        <v>44998</v>
      </c>
      <c r="AC9" s="8">
        <f>+SUM(AC6:AC8)</f>
        <v>68397</v>
      </c>
      <c r="AD9" s="8">
        <f>+SUM(AD6:AD8)</f>
        <v>80118</v>
      </c>
      <c r="AE9" s="8">
        <f>+SUM(AE6:AE8)</f>
        <v>79571</v>
      </c>
      <c r="AF9" s="8">
        <f>+SUM(AF6:AF8)</f>
        <v>78558</v>
      </c>
      <c r="AG9" s="8">
        <f>+SUM(AG6:AG8)</f>
        <v>81400</v>
      </c>
    </row>
    <row r="10" spans="1:43" x14ac:dyDescent="0.2">
      <c r="A10" s="1" t="s">
        <v>43</v>
      </c>
      <c r="B10" s="1">
        <v>3384</v>
      </c>
      <c r="C10" s="1">
        <v>3491</v>
      </c>
      <c r="D10" s="1">
        <v>3538</v>
      </c>
      <c r="E10" s="3">
        <f t="shared" si="4"/>
        <v>3521</v>
      </c>
      <c r="F10" s="1">
        <v>3727</v>
      </c>
      <c r="G10" s="1">
        <v>4060</v>
      </c>
      <c r="H10" s="1">
        <v>3712</v>
      </c>
      <c r="I10" s="3">
        <f t="shared" si="1"/>
        <v>3167</v>
      </c>
      <c r="J10" s="1">
        <v>3061</v>
      </c>
      <c r="K10" s="1">
        <v>2916</v>
      </c>
      <c r="L10" s="1">
        <v>2886</v>
      </c>
      <c r="M10" s="1">
        <f t="shared" si="2"/>
        <v>2792</v>
      </c>
      <c r="N10" s="1">
        <v>2688</v>
      </c>
      <c r="O10" s="1">
        <v>2664</v>
      </c>
      <c r="P10" s="1">
        <v>2722</v>
      </c>
      <c r="Q10" s="1">
        <f t="shared" si="3"/>
        <v>2697</v>
      </c>
      <c r="R10" s="1">
        <v>2602</v>
      </c>
      <c r="AB10" s="1">
        <v>6622</v>
      </c>
      <c r="AC10" s="1">
        <v>11878</v>
      </c>
      <c r="AD10" s="1">
        <v>13934</v>
      </c>
      <c r="AE10" s="1">
        <v>14666</v>
      </c>
      <c r="AF10" s="1">
        <v>11655</v>
      </c>
      <c r="AG10" s="1">
        <v>10771</v>
      </c>
    </row>
    <row r="11" spans="1:43" x14ac:dyDescent="0.2">
      <c r="A11" s="1" t="s">
        <v>44</v>
      </c>
      <c r="B11" s="1">
        <v>5142</v>
      </c>
      <c r="C11" s="1">
        <v>5453</v>
      </c>
      <c r="D11" s="1">
        <v>5145</v>
      </c>
      <c r="E11" s="3">
        <f t="shared" si="4"/>
        <v>6931</v>
      </c>
      <c r="F11" s="1">
        <v>5946</v>
      </c>
      <c r="G11" s="1">
        <v>5108</v>
      </c>
      <c r="H11" s="1">
        <v>4982</v>
      </c>
      <c r="I11" s="3">
        <f t="shared" si="1"/>
        <v>5504</v>
      </c>
      <c r="J11" s="1">
        <v>4588</v>
      </c>
      <c r="K11" s="1">
        <v>4088</v>
      </c>
      <c r="L11" s="1">
        <v>4249</v>
      </c>
      <c r="M11" s="1">
        <f t="shared" si="2"/>
        <v>5608</v>
      </c>
      <c r="N11" s="1">
        <v>4399</v>
      </c>
      <c r="O11" s="1">
        <v>4088</v>
      </c>
      <c r="P11" s="1">
        <v>4307</v>
      </c>
      <c r="Q11" s="1">
        <f t="shared" si="3"/>
        <v>6088</v>
      </c>
      <c r="R11" s="1">
        <v>4798</v>
      </c>
      <c r="AB11" s="1">
        <v>11899</v>
      </c>
      <c r="AC11" s="1">
        <v>16388</v>
      </c>
      <c r="AD11" s="1">
        <v>22671</v>
      </c>
      <c r="AE11" s="1">
        <v>21540</v>
      </c>
      <c r="AF11" s="1">
        <v>18533</v>
      </c>
      <c r="AG11" s="1">
        <v>18882</v>
      </c>
    </row>
    <row r="12" spans="1:43" x14ac:dyDescent="0.2">
      <c r="A12" s="1" t="s">
        <v>1</v>
      </c>
      <c r="B12" s="1">
        <f>+B9-B10-B11</f>
        <v>11233</v>
      </c>
      <c r="C12" s="1">
        <f>+C9-C10-C11</f>
        <v>11006</v>
      </c>
      <c r="D12" s="1">
        <f>+D9-D10-D11</f>
        <v>10941</v>
      </c>
      <c r="E12" s="1">
        <f>+E9-E10-E11</f>
        <v>10333</v>
      </c>
      <c r="F12" s="1">
        <f>+F9-F10-F11</f>
        <v>10447</v>
      </c>
      <c r="G12" s="1">
        <f>+G9-G10-G11</f>
        <v>10533</v>
      </c>
      <c r="H12" s="1">
        <f>+H9-H10-H11</f>
        <v>10783</v>
      </c>
      <c r="I12" s="1">
        <f>+I9-I10-I11</f>
        <v>11602</v>
      </c>
      <c r="J12" s="1">
        <f>+J9-J10-J11</f>
        <v>11983</v>
      </c>
      <c r="K12" s="1">
        <f>+K9-K10-K11</f>
        <v>12192</v>
      </c>
      <c r="L12" s="1">
        <f>+L9-L10-L11</f>
        <v>12117</v>
      </c>
      <c r="M12" s="1">
        <f>+M9-M10-M11</f>
        <v>12078</v>
      </c>
      <c r="N12" s="1">
        <f>+N9-N10-N11</f>
        <v>12507</v>
      </c>
      <c r="O12" s="1">
        <f>+O9-O10-O11</f>
        <v>13020</v>
      </c>
      <c r="P12" s="1">
        <f>+P9-P10-P11</f>
        <v>13133</v>
      </c>
      <c r="Q12" s="1">
        <f>+Q9-Q10-Q11</f>
        <v>13087</v>
      </c>
      <c r="R12" s="1">
        <f>+R9-R10-R11</f>
        <v>13486</v>
      </c>
      <c r="AB12" s="1">
        <f>+AB9-AB10-AB11</f>
        <v>26477</v>
      </c>
      <c r="AC12" s="1">
        <f>+AC9-AC10-AC11</f>
        <v>40131</v>
      </c>
      <c r="AD12" s="1">
        <f>+AD9-AD10-AD11</f>
        <v>43513</v>
      </c>
      <c r="AE12" s="1">
        <f>+AE9-AE10-AE11</f>
        <v>43365</v>
      </c>
      <c r="AF12" s="1">
        <f>+AF9-AF10-AF11</f>
        <v>48370</v>
      </c>
      <c r="AG12" s="1">
        <f>+AG9-AG10-AG11</f>
        <v>51747</v>
      </c>
    </row>
    <row r="13" spans="1:43" x14ac:dyDescent="0.2">
      <c r="A13" s="1" t="s">
        <v>2</v>
      </c>
      <c r="B13" s="1">
        <v>4805</v>
      </c>
      <c r="C13" s="1">
        <v>4823</v>
      </c>
      <c r="D13" s="1">
        <v>5212</v>
      </c>
      <c r="E13" s="3">
        <f t="shared" si="4"/>
        <v>5398</v>
      </c>
      <c r="F13" s="1">
        <v>5056</v>
      </c>
      <c r="G13" s="1">
        <v>5856</v>
      </c>
      <c r="H13" s="1">
        <v>5118</v>
      </c>
      <c r="I13" s="3">
        <f t="shared" si="1"/>
        <v>5577</v>
      </c>
      <c r="J13" s="1">
        <v>5425</v>
      </c>
      <c r="K13" s="1">
        <v>5272</v>
      </c>
      <c r="L13" s="1">
        <v>5334</v>
      </c>
      <c r="M13" s="1">
        <f t="shared" si="2"/>
        <v>5280</v>
      </c>
      <c r="N13" s="1">
        <v>5138</v>
      </c>
      <c r="O13" s="1">
        <v>5142</v>
      </c>
      <c r="P13" s="1">
        <v>5186</v>
      </c>
      <c r="Q13" s="1">
        <f t="shared" si="3"/>
        <v>5352</v>
      </c>
      <c r="R13" s="1">
        <v>5488</v>
      </c>
      <c r="AB13" s="1">
        <v>14139</v>
      </c>
      <c r="AC13" s="1">
        <v>18926</v>
      </c>
      <c r="AD13" s="1">
        <v>20238</v>
      </c>
      <c r="AE13" s="1">
        <v>21607</v>
      </c>
      <c r="AF13" s="1">
        <v>21311</v>
      </c>
      <c r="AG13" s="1">
        <v>20818</v>
      </c>
    </row>
    <row r="14" spans="1:43" x14ac:dyDescent="0.2">
      <c r="A14" s="1" t="s">
        <v>45</v>
      </c>
      <c r="B14" s="1">
        <v>4289</v>
      </c>
      <c r="C14" s="1">
        <v>4077</v>
      </c>
      <c r="D14" s="1">
        <v>4145</v>
      </c>
      <c r="E14" s="3">
        <f t="shared" si="4"/>
        <v>3872</v>
      </c>
      <c r="F14" s="1">
        <v>3585</v>
      </c>
      <c r="G14" s="1">
        <v>3491</v>
      </c>
      <c r="H14" s="1">
        <v>3313</v>
      </c>
      <c r="I14" s="3">
        <f t="shared" si="1"/>
        <v>3262</v>
      </c>
      <c r="J14" s="1">
        <v>3203</v>
      </c>
      <c r="K14" s="1">
        <v>3110</v>
      </c>
      <c r="L14" s="1">
        <v>3187</v>
      </c>
      <c r="M14" s="1">
        <f t="shared" si="2"/>
        <v>3318</v>
      </c>
      <c r="N14" s="1">
        <v>3371</v>
      </c>
      <c r="O14" s="1">
        <v>3248</v>
      </c>
      <c r="P14" s="1">
        <v>3151</v>
      </c>
      <c r="Q14" s="1">
        <f t="shared" si="3"/>
        <v>3149</v>
      </c>
      <c r="R14" s="1">
        <v>3198</v>
      </c>
      <c r="AB14" s="1">
        <v>6616</v>
      </c>
      <c r="AC14" s="1">
        <v>14151</v>
      </c>
      <c r="AD14" s="1">
        <v>16383</v>
      </c>
      <c r="AE14" s="1">
        <v>13651</v>
      </c>
      <c r="AF14" s="1">
        <v>12818</v>
      </c>
      <c r="AG14" s="1">
        <v>12919</v>
      </c>
    </row>
    <row r="15" spans="1:43" x14ac:dyDescent="0.2">
      <c r="A15" s="1" t="s">
        <v>3</v>
      </c>
      <c r="B15" s="1">
        <f>+SUM(B13:B14)</f>
        <v>9094</v>
      </c>
      <c r="C15" s="1">
        <f>+SUM(C13:C14)</f>
        <v>8900</v>
      </c>
      <c r="D15" s="1">
        <f>+SUM(D13:D14)</f>
        <v>9357</v>
      </c>
      <c r="E15" s="1">
        <f>+SUM(E13:E14)</f>
        <v>9270</v>
      </c>
      <c r="F15" s="1">
        <f>+SUM(F13:F14)</f>
        <v>8641</v>
      </c>
      <c r="G15" s="1">
        <f>+SUM(G13:G14)</f>
        <v>9347</v>
      </c>
      <c r="H15" s="1">
        <f>+SUM(H13:H14)</f>
        <v>8431</v>
      </c>
      <c r="I15" s="1">
        <f>+SUM(I13:I14)</f>
        <v>8839</v>
      </c>
      <c r="J15" s="1">
        <f>+SUM(J13:J14)</f>
        <v>8628</v>
      </c>
      <c r="K15" s="1">
        <f>+SUM(K13:K14)</f>
        <v>8382</v>
      </c>
      <c r="L15" s="1">
        <f>+SUM(L13:L14)</f>
        <v>8521</v>
      </c>
      <c r="M15" s="1">
        <f>+SUM(M13:M14)</f>
        <v>8598</v>
      </c>
      <c r="N15" s="1">
        <f>+SUM(N13:N14)</f>
        <v>8509</v>
      </c>
      <c r="O15" s="1">
        <f>+SUM(O13:O14)</f>
        <v>8390</v>
      </c>
      <c r="P15" s="1">
        <f>+SUM(P13:P14)</f>
        <v>8337</v>
      </c>
      <c r="Q15" s="1">
        <f>+SUM(Q13:Q14)</f>
        <v>8501</v>
      </c>
      <c r="R15" s="1">
        <f>+SUM(R13:R14)</f>
        <v>8686</v>
      </c>
      <c r="AB15" s="1">
        <f>+SUM(AB13:AB14)</f>
        <v>20755</v>
      </c>
      <c r="AC15" s="1">
        <f>+SUM(AC13:AC14)</f>
        <v>33077</v>
      </c>
      <c r="AD15" s="1">
        <f>+SUM(AD13:AD14)</f>
        <v>36621</v>
      </c>
      <c r="AE15" s="1">
        <f>+SUM(AE13:AE14)</f>
        <v>35258</v>
      </c>
      <c r="AF15" s="1">
        <f>+SUM(AF13:AF14)</f>
        <v>34129</v>
      </c>
      <c r="AG15" s="1">
        <f>+SUM(AG13:AG14)</f>
        <v>33737</v>
      </c>
    </row>
    <row r="16" spans="1:43" s="8" customFormat="1" x14ac:dyDescent="0.2">
      <c r="A16" s="8" t="s">
        <v>4</v>
      </c>
      <c r="B16" s="8">
        <f>+B12-B15</f>
        <v>2139</v>
      </c>
      <c r="C16" s="8">
        <f>+C12-C15</f>
        <v>2106</v>
      </c>
      <c r="D16" s="8">
        <f>+D12-D15</f>
        <v>1584</v>
      </c>
      <c r="E16" s="8">
        <f>+E12-E15</f>
        <v>1063</v>
      </c>
      <c r="F16" s="8">
        <f>+F12-F15</f>
        <v>1806</v>
      </c>
      <c r="G16" s="8">
        <f>+G12-G15</f>
        <v>1186</v>
      </c>
      <c r="H16" s="8">
        <f>+H12-H15</f>
        <v>2352</v>
      </c>
      <c r="I16" s="8">
        <f>+I12-I15</f>
        <v>2763</v>
      </c>
      <c r="J16" s="8">
        <f>+J12-J15</f>
        <v>3355</v>
      </c>
      <c r="K16" s="8">
        <f>+K12-K15</f>
        <v>3810</v>
      </c>
      <c r="L16" s="8">
        <f>+L12-L15</f>
        <v>3596</v>
      </c>
      <c r="M16" s="8">
        <f>+M12-M15</f>
        <v>3480</v>
      </c>
      <c r="N16" s="8">
        <f>+N12-N15</f>
        <v>3998</v>
      </c>
      <c r="O16" s="8">
        <f>+O12-O15</f>
        <v>4630</v>
      </c>
      <c r="P16" s="8">
        <f>+P12-P15</f>
        <v>4796</v>
      </c>
      <c r="Q16" s="8">
        <f>+Q12-Q15</f>
        <v>4586</v>
      </c>
      <c r="R16" s="8">
        <f>+R12-R15</f>
        <v>4800</v>
      </c>
      <c r="AB16" s="8">
        <f t="shared" ref="AB16:AE16" si="5">+AB12-AB15</f>
        <v>5722</v>
      </c>
      <c r="AC16" s="8">
        <f t="shared" si="5"/>
        <v>7054</v>
      </c>
      <c r="AD16" s="8">
        <f t="shared" si="5"/>
        <v>6892</v>
      </c>
      <c r="AE16" s="8">
        <f t="shared" si="5"/>
        <v>8107</v>
      </c>
      <c r="AF16" s="8">
        <f>+AF12-AF15</f>
        <v>14241</v>
      </c>
      <c r="AG16" s="8">
        <f>+AG12-AG15</f>
        <v>18010</v>
      </c>
    </row>
    <row r="17" spans="1:33" x14ac:dyDescent="0.2">
      <c r="A17" s="1" t="s">
        <v>46</v>
      </c>
      <c r="B17" s="1">
        <v>-835</v>
      </c>
      <c r="C17" s="1">
        <v>-850</v>
      </c>
      <c r="D17" s="1">
        <v>-836</v>
      </c>
      <c r="E17" s="3">
        <f t="shared" ref="E17" si="6">+AD17-SUM(B17:D17)</f>
        <v>-668</v>
      </c>
      <c r="F17" s="1">
        <v>-864</v>
      </c>
      <c r="G17" s="1">
        <v>-851</v>
      </c>
      <c r="H17" s="1">
        <v>-827</v>
      </c>
      <c r="I17" s="3">
        <f t="shared" ref="I17" si="7">+AE17-SUM(F17:H17)</f>
        <v>-822</v>
      </c>
      <c r="J17" s="1">
        <v>-835</v>
      </c>
      <c r="K17" s="1">
        <v>-861</v>
      </c>
      <c r="L17" s="1">
        <v>-790</v>
      </c>
      <c r="M17" s="1">
        <f t="shared" ref="M17" si="8">+AF17-SUM(J17:L17)</f>
        <v>-849</v>
      </c>
      <c r="N17" s="1">
        <v>-880</v>
      </c>
      <c r="O17" s="1">
        <v>-854</v>
      </c>
      <c r="P17" s="1">
        <v>-836</v>
      </c>
      <c r="Q17" s="1">
        <f t="shared" ref="Q17" si="9">+AG17-SUM(N17:P17)</f>
        <v>-841</v>
      </c>
      <c r="R17" s="1">
        <v>-916</v>
      </c>
      <c r="AB17" s="1">
        <v>-727</v>
      </c>
      <c r="AC17" s="1">
        <v>-2483</v>
      </c>
      <c r="AD17" s="1">
        <v>-3189</v>
      </c>
      <c r="AE17" s="1">
        <v>-3364</v>
      </c>
      <c r="AF17" s="1">
        <v>-3335</v>
      </c>
      <c r="AG17" s="1">
        <v>-3411</v>
      </c>
    </row>
    <row r="18" spans="1:33" x14ac:dyDescent="0.2">
      <c r="A18" s="1" t="s">
        <v>5</v>
      </c>
      <c r="B18" s="1">
        <f>+B16+B17</f>
        <v>1304</v>
      </c>
      <c r="C18" s="1">
        <f>+C16+C17</f>
        <v>1256</v>
      </c>
      <c r="D18" s="1">
        <f>+D16+D17</f>
        <v>748</v>
      </c>
      <c r="E18" s="1">
        <f>+E16+E17</f>
        <v>395</v>
      </c>
      <c r="F18" s="1">
        <f>+F16+F17</f>
        <v>942</v>
      </c>
      <c r="G18" s="1">
        <f>+G16+G17</f>
        <v>335</v>
      </c>
      <c r="H18" s="1">
        <f>+H16+H17</f>
        <v>1525</v>
      </c>
      <c r="I18" s="1">
        <f>+I16+I17</f>
        <v>1941</v>
      </c>
      <c r="J18" s="1">
        <f>+J16+J17</f>
        <v>2520</v>
      </c>
      <c r="K18" s="1">
        <f>+K16+K17</f>
        <v>2949</v>
      </c>
      <c r="L18" s="1">
        <f>+L16+L17</f>
        <v>2806</v>
      </c>
      <c r="M18" s="1">
        <f>+M16+M17</f>
        <v>2631</v>
      </c>
      <c r="N18" s="1">
        <f>+N16+N17</f>
        <v>3118</v>
      </c>
      <c r="O18" s="1">
        <f>+O16+O17</f>
        <v>3776</v>
      </c>
      <c r="P18" s="1">
        <f>+P16+P17</f>
        <v>3960</v>
      </c>
      <c r="Q18" s="1">
        <f>+Q16+Q17</f>
        <v>3745</v>
      </c>
      <c r="R18" s="1">
        <f>+R16+R17</f>
        <v>3884</v>
      </c>
      <c r="AB18" s="1">
        <f>+AB16+AB17</f>
        <v>4995</v>
      </c>
      <c r="AC18" s="1">
        <f>+AC16+AC17</f>
        <v>4571</v>
      </c>
      <c r="AD18" s="1">
        <f>+AD16+AD17</f>
        <v>3703</v>
      </c>
      <c r="AE18" s="1">
        <f>+AE16+AE17</f>
        <v>4743</v>
      </c>
      <c r="AF18" s="1">
        <f>+AF16+AF17</f>
        <v>10906</v>
      </c>
      <c r="AG18" s="1">
        <f>+AG16+AG17</f>
        <v>14599</v>
      </c>
    </row>
    <row r="19" spans="1:33" x14ac:dyDescent="0.2">
      <c r="A19" s="1" t="s">
        <v>6</v>
      </c>
      <c r="B19" s="1">
        <v>246</v>
      </c>
      <c r="C19" s="1">
        <v>277</v>
      </c>
      <c r="D19" s="1">
        <v>-3</v>
      </c>
      <c r="E19" s="3">
        <f t="shared" ref="E19" si="10">+AD19-SUM(B19:D19)</f>
        <v>-193</v>
      </c>
      <c r="F19" s="1">
        <v>218</v>
      </c>
      <c r="G19" s="1">
        <v>-55</v>
      </c>
      <c r="H19" s="1">
        <v>-57</v>
      </c>
      <c r="I19" s="3">
        <f t="shared" ref="I19" si="11">+AE19-SUM(F19:H19)</f>
        <v>450</v>
      </c>
      <c r="J19" s="1">
        <v>631</v>
      </c>
      <c r="K19" s="1">
        <v>717</v>
      </c>
      <c r="L19" s="1">
        <v>705</v>
      </c>
      <c r="M19" s="1">
        <f t="shared" ref="M19" si="12">+AF19-SUM(J19:L19)</f>
        <v>629</v>
      </c>
      <c r="N19" s="1">
        <v>764</v>
      </c>
      <c r="O19" s="1">
        <v>843</v>
      </c>
      <c r="P19" s="1">
        <v>908</v>
      </c>
      <c r="Q19" s="1">
        <f t="shared" ref="Q19" si="13">+AG19-SUM(N19:P19)</f>
        <v>858</v>
      </c>
      <c r="R19" s="1">
        <v>885</v>
      </c>
      <c r="AB19" s="1">
        <v>1135</v>
      </c>
      <c r="AC19" s="1">
        <v>786</v>
      </c>
      <c r="AD19" s="1">
        <v>327</v>
      </c>
      <c r="AE19" s="1">
        <v>556</v>
      </c>
      <c r="AF19" s="1">
        <v>2682</v>
      </c>
      <c r="AG19" s="1">
        <v>3373</v>
      </c>
    </row>
    <row r="20" spans="1:33" s="8" customFormat="1" x14ac:dyDescent="0.2">
      <c r="A20" s="8" t="s">
        <v>7</v>
      </c>
      <c r="B20" s="8">
        <f>+B18-B19</f>
        <v>1058</v>
      </c>
      <c r="C20" s="8">
        <f>+C18-C19</f>
        <v>979</v>
      </c>
      <c r="D20" s="8">
        <f>+D18-D19</f>
        <v>751</v>
      </c>
      <c r="E20" s="8">
        <f>+E18-E19</f>
        <v>588</v>
      </c>
      <c r="F20" s="8">
        <f>+F18-F19</f>
        <v>724</v>
      </c>
      <c r="G20" s="8">
        <f>+G18-G19</f>
        <v>390</v>
      </c>
      <c r="H20" s="8">
        <f>+H18-H19</f>
        <v>1582</v>
      </c>
      <c r="I20" s="8">
        <f>+I18-I19</f>
        <v>1491</v>
      </c>
      <c r="J20" s="8">
        <f>+J18-J19</f>
        <v>1889</v>
      </c>
      <c r="K20" s="8">
        <f>+K18-K19</f>
        <v>2232</v>
      </c>
      <c r="L20" s="8">
        <f>+L18-L19</f>
        <v>2101</v>
      </c>
      <c r="M20" s="8">
        <f>+M18-M19</f>
        <v>2002</v>
      </c>
      <c r="N20" s="8">
        <f>+N18-N19</f>
        <v>2354</v>
      </c>
      <c r="O20" s="8">
        <f>+O18-O19</f>
        <v>2933</v>
      </c>
      <c r="P20" s="8">
        <f>+P18-P19</f>
        <v>3052</v>
      </c>
      <c r="Q20" s="8">
        <f>+Q18-Q19</f>
        <v>2887</v>
      </c>
      <c r="R20" s="8">
        <f>+R18-R19</f>
        <v>2999</v>
      </c>
      <c r="AB20" s="8">
        <f>+AB18-AB19</f>
        <v>3860</v>
      </c>
      <c r="AC20" s="8">
        <f>+AC18-AC19</f>
        <v>3785</v>
      </c>
      <c r="AD20" s="8">
        <f>+AD18-AD19</f>
        <v>3376</v>
      </c>
      <c r="AE20" s="8">
        <f>+AE18-AE19</f>
        <v>4187</v>
      </c>
      <c r="AF20" s="8">
        <f>+AF18-AF19</f>
        <v>8224</v>
      </c>
      <c r="AG20" s="8">
        <f>+AG18-AG19</f>
        <v>11226</v>
      </c>
    </row>
    <row r="21" spans="1:33" s="5" customFormat="1" x14ac:dyDescent="0.2">
      <c r="A21" s="5" t="s">
        <v>8</v>
      </c>
      <c r="B21" s="5">
        <f>+B20/B22</f>
        <v>0.84451938100299018</v>
      </c>
      <c r="C21" s="5">
        <f>+C20/C22</f>
        <v>0.78087728239761378</v>
      </c>
      <c r="D21" s="5">
        <f>+D20/D22</f>
        <v>0.59904539842419713</v>
      </c>
      <c r="E21" s="5">
        <f>+E20/E22</f>
        <v>0.46706820705771951</v>
      </c>
      <c r="F21" s="5">
        <f>+F20/F22</f>
        <v>0.5767230474091708</v>
      </c>
      <c r="G21" s="5">
        <f>+G20/G22</f>
        <v>0.31102140573244319</v>
      </c>
      <c r="H21" s="5">
        <f>+H20/H22</f>
        <v>1.2563429924564204</v>
      </c>
      <c r="I21" s="5">
        <f>+I20/I22</f>
        <v>1.1899486668994312</v>
      </c>
      <c r="J21" s="5">
        <f>+J20/J22</f>
        <v>1.5425385866027437</v>
      </c>
      <c r="K21" s="5">
        <f>+K20/K22</f>
        <v>1.8669489410936198</v>
      </c>
      <c r="L21" s="5">
        <f>+L20/L22</f>
        <v>1.7890131520072481</v>
      </c>
      <c r="M21" s="5">
        <f>+M20/M22</f>
        <v>1.6591851574115908</v>
      </c>
      <c r="N21" s="5">
        <f>+N20/N22</f>
        <v>1.979661760727031</v>
      </c>
      <c r="O21" s="5">
        <f>+O20/O22</f>
        <v>2.5016048631055248</v>
      </c>
      <c r="P21" s="5">
        <f>+P20/P22</f>
        <v>2.6070995981008189</v>
      </c>
      <c r="Q21" s="5">
        <f>+Q20/Q22</f>
        <v>2.4873636005770723</v>
      </c>
      <c r="R21" s="5">
        <f>+R20/R22</f>
        <v>2.6200027273363502</v>
      </c>
      <c r="AB21" s="5">
        <f>+AB20/AB22</f>
        <v>4.4705237297652216</v>
      </c>
      <c r="AC21" s="5">
        <f>+AC20/AC22</f>
        <v>3.2777673737890778</v>
      </c>
      <c r="AD21" s="5">
        <f>+AD20/AD22</f>
        <v>2.6905330850270954</v>
      </c>
      <c r="AE21" s="5">
        <f>+AE20/AE22</f>
        <v>3.3352536890859099</v>
      </c>
      <c r="AF21" s="5">
        <f>+AF20/AF22</f>
        <v>6.8516988377365946</v>
      </c>
      <c r="AG21" s="5">
        <f>+AG20/AG22</f>
        <v>9.5685876370346232</v>
      </c>
    </row>
    <row r="22" spans="1:33" x14ac:dyDescent="0.2">
      <c r="A22" s="1" t="s">
        <v>9</v>
      </c>
      <c r="B22" s="1">
        <v>1252.7835640000001</v>
      </c>
      <c r="C22" s="1">
        <v>1253.718122</v>
      </c>
      <c r="D22" s="1">
        <v>1253.661245</v>
      </c>
      <c r="E22" s="1">
        <f>+AD22*4-SUM(B22:D22)</f>
        <v>1258.9167729999999</v>
      </c>
      <c r="F22" s="1">
        <v>1255.368592</v>
      </c>
      <c r="G22" s="1">
        <v>1253.932986</v>
      </c>
      <c r="H22" s="1">
        <v>1259.2102709999999</v>
      </c>
      <c r="I22" s="1">
        <f>+AE22*4-SUM(F22:H22)</f>
        <v>1252.9952269999999</v>
      </c>
      <c r="J22" s="1">
        <v>1224.6046980000001</v>
      </c>
      <c r="K22" s="1">
        <v>1195.5334989999999</v>
      </c>
      <c r="L22" s="1">
        <v>1174.390472</v>
      </c>
      <c r="M22" s="1">
        <f>+AF22*4-SUM(J22:L22)</f>
        <v>1206.616387</v>
      </c>
      <c r="N22" s="1">
        <v>1189.0920189999999</v>
      </c>
      <c r="O22" s="1">
        <v>1172.447353</v>
      </c>
      <c r="P22" s="1">
        <v>1170.6495609999999</v>
      </c>
      <c r="Q22" s="1">
        <f>+AG22*4-SUM(N22:P22)</f>
        <v>1160.6666589999995</v>
      </c>
      <c r="R22" s="1">
        <v>1144.655297</v>
      </c>
      <c r="AB22" s="1">
        <v>863.43351099999995</v>
      </c>
      <c r="AC22" s="1">
        <v>1154.7494280000001</v>
      </c>
      <c r="AD22" s="1">
        <v>1254.7699259999999</v>
      </c>
      <c r="AE22" s="1">
        <v>1255.376769</v>
      </c>
      <c r="AF22" s="1">
        <v>1200.2862640000001</v>
      </c>
      <c r="AG22" s="1">
        <v>1173.213898</v>
      </c>
    </row>
    <row r="24" spans="1:33" s="4" customFormat="1" x14ac:dyDescent="0.2">
      <c r="A24" s="4" t="s">
        <v>10</v>
      </c>
      <c r="B24" s="4">
        <f>+B12/B9</f>
        <v>0.56850043018371377</v>
      </c>
      <c r="C24" s="4">
        <f>+C12/C9</f>
        <v>0.55167919799498744</v>
      </c>
      <c r="D24" s="4">
        <f>+D12/D9</f>
        <v>0.55753159396657159</v>
      </c>
      <c r="E24" s="4">
        <f>+E12/E9</f>
        <v>0.49713735867211933</v>
      </c>
      <c r="F24" s="4">
        <f>+F12/F9</f>
        <v>0.51923459244532799</v>
      </c>
      <c r="G24" s="4">
        <f>+G12/G9</f>
        <v>0.53464291152733368</v>
      </c>
      <c r="H24" s="4">
        <f>+H12/H9</f>
        <v>0.55362735534219853</v>
      </c>
      <c r="I24" s="4">
        <f>+I12/I9</f>
        <v>0.57228826518028908</v>
      </c>
      <c r="J24" s="4">
        <f>+J12/J9</f>
        <v>0.61038101059494698</v>
      </c>
      <c r="K24" s="4">
        <f>+K12/K9</f>
        <v>0.63513231923317359</v>
      </c>
      <c r="L24" s="4">
        <f>+L12/L9</f>
        <v>0.62938915437357157</v>
      </c>
      <c r="M24" s="4">
        <f>+M12/M9</f>
        <v>0.58980369176677405</v>
      </c>
      <c r="N24" s="4">
        <f>+N12/N9</f>
        <v>0.63830764519750949</v>
      </c>
      <c r="O24" s="4">
        <f>+O12/O9</f>
        <v>0.6585069795670645</v>
      </c>
      <c r="P24" s="4">
        <f>+P12/P9</f>
        <v>0.65137387163971827</v>
      </c>
      <c r="Q24" s="4">
        <f>+Q12/Q9</f>
        <v>0.59834491587417704</v>
      </c>
      <c r="R24" s="4">
        <f>+R12/R9</f>
        <v>0.645695681317629</v>
      </c>
      <c r="AB24" s="4">
        <f>+AB13/AB9</f>
        <v>0.31421396506511401</v>
      </c>
      <c r="AC24" s="4">
        <f>+AC13/AC9</f>
        <v>0.27670804275041305</v>
      </c>
      <c r="AD24" s="4">
        <f>+AD13/AD9</f>
        <v>0.2526024114431214</v>
      </c>
      <c r="AE24" s="4">
        <f>+AE12/AE9</f>
        <v>0.54498498196579159</v>
      </c>
      <c r="AF24" s="4">
        <f>+AF12/AF9</f>
        <v>0.61572341454721358</v>
      </c>
      <c r="AG24" s="4">
        <f>+AG12/AG9</f>
        <v>0.63571253071253075</v>
      </c>
    </row>
    <row r="25" spans="1:33" s="4" customFormat="1" x14ac:dyDescent="0.2">
      <c r="A25" s="4" t="s">
        <v>11</v>
      </c>
      <c r="B25" s="4">
        <f>+B16/B9</f>
        <v>0.1082544663191457</v>
      </c>
      <c r="C25" s="4">
        <f>+C16/C9</f>
        <v>0.1055639097744361</v>
      </c>
      <c r="D25" s="4">
        <f>+D16/D9</f>
        <v>8.0717488789237665E-2</v>
      </c>
      <c r="E25" s="4">
        <f>+E16/E9</f>
        <v>5.1142650950204475E-2</v>
      </c>
      <c r="F25" s="4">
        <f>+F16/F9</f>
        <v>8.9761431411530812E-2</v>
      </c>
      <c r="G25" s="4">
        <f>+G16/G9</f>
        <v>6.0199989848231057E-2</v>
      </c>
      <c r="H25" s="4">
        <f>+H16/H9</f>
        <v>0.12075781691225548</v>
      </c>
      <c r="I25" s="4">
        <f>+I16/I9</f>
        <v>0.13628964632762788</v>
      </c>
      <c r="J25" s="4">
        <f>+J16/J9</f>
        <v>0.17089445802770986</v>
      </c>
      <c r="K25" s="4">
        <f>+K16/K9</f>
        <v>0.19847884976036675</v>
      </c>
      <c r="L25" s="4">
        <f>+L16/L9</f>
        <v>0.18678578848950758</v>
      </c>
      <c r="M25" s="4">
        <f>+M16/M9</f>
        <v>0.16993847055376501</v>
      </c>
      <c r="N25" s="4">
        <f>+N16/N9</f>
        <v>0.20404205368990508</v>
      </c>
      <c r="O25" s="4">
        <f>+O16/O9</f>
        <v>0.23416953267246612</v>
      </c>
      <c r="P25" s="4">
        <f>+P16/P9</f>
        <v>0.23787322686241444</v>
      </c>
      <c r="Q25" s="4">
        <f>+Q16/Q9</f>
        <v>0.20967446964155084</v>
      </c>
      <c r="R25" s="4">
        <f>+R16/R9</f>
        <v>0.2298190175237001</v>
      </c>
      <c r="AB25" s="4">
        <f>+AB16/AB9</f>
        <v>0.12716120716476287</v>
      </c>
      <c r="AC25" s="4">
        <f>+AC16/AC9</f>
        <v>0.10313317835577583</v>
      </c>
      <c r="AD25" s="4">
        <f>+AD16/AD9</f>
        <v>8.6023115904041533E-2</v>
      </c>
      <c r="AE25" s="4">
        <f>+AE16/AE9</f>
        <v>0.10188385215719295</v>
      </c>
      <c r="AF25" s="4">
        <f>+AF16/AF9</f>
        <v>0.18128007332162224</v>
      </c>
      <c r="AG25" s="4">
        <f>+AG16/AG9</f>
        <v>0.22125307125307125</v>
      </c>
    </row>
    <row r="26" spans="1:33" s="4" customFormat="1" x14ac:dyDescent="0.2">
      <c r="A26" s="4" t="s">
        <v>12</v>
      </c>
      <c r="B26" s="4">
        <f>+B20/B9</f>
        <v>5.3545219899792502E-2</v>
      </c>
      <c r="C26" s="4">
        <f>+C20/C9</f>
        <v>4.907268170426065E-2</v>
      </c>
      <c r="D26" s="4">
        <f>+D20/D9</f>
        <v>3.8269465960048918E-2</v>
      </c>
      <c r="E26" s="4">
        <f>+E20/E9</f>
        <v>2.8289631946114988E-2</v>
      </c>
      <c r="F26" s="4">
        <f>+F20/F9</f>
        <v>3.5984095427435386E-2</v>
      </c>
      <c r="G26" s="4">
        <f>+G20/G9</f>
        <v>1.979594944419065E-2</v>
      </c>
      <c r="H26" s="4">
        <f>+H20/H9</f>
        <v>8.1224007804076598E-2</v>
      </c>
      <c r="I26" s="4">
        <f>+I20/I9</f>
        <v>7.3546095792433291E-2</v>
      </c>
      <c r="J26" s="4">
        <f>+J20/J9</f>
        <v>9.6220456397718007E-2</v>
      </c>
      <c r="K26" s="4">
        <f>+K20/K9</f>
        <v>0.11627422379662429</v>
      </c>
      <c r="L26" s="4">
        <f>+L20/L9</f>
        <v>0.10913151880324122</v>
      </c>
      <c r="M26" s="4">
        <f>+M20/M9</f>
        <v>9.7763453462252167E-2</v>
      </c>
      <c r="N26" s="4">
        <f>+N20/N9</f>
        <v>0.12013881800551189</v>
      </c>
      <c r="O26" s="4">
        <f>+O20/O9</f>
        <v>0.14834108840784949</v>
      </c>
      <c r="P26" s="4">
        <f>+P20/P9</f>
        <v>0.15137387163971827</v>
      </c>
      <c r="Q26" s="4">
        <f>+Q20/Q9</f>
        <v>0.13199524506217997</v>
      </c>
      <c r="R26" s="4">
        <f>+R20/R9</f>
        <v>0.14358900699032845</v>
      </c>
      <c r="AB26" s="4">
        <f>+AB20/AB9</f>
        <v>8.5781590292901902E-2</v>
      </c>
      <c r="AC26" s="4">
        <f>+AC20/AC9</f>
        <v>5.5338684445224204E-2</v>
      </c>
      <c r="AD26" s="4">
        <f>+AD20/AD9</f>
        <v>4.2137846676152675E-2</v>
      </c>
      <c r="AE26" s="4">
        <f>+AE20/AE9</f>
        <v>5.2619672996443427E-2</v>
      </c>
      <c r="AF26" s="4">
        <f>+AF20/AF9</f>
        <v>0.10468698286616258</v>
      </c>
      <c r="AG26" s="4">
        <f>+AG20/AG9</f>
        <v>0.13791154791154792</v>
      </c>
    </row>
    <row r="27" spans="1:33" s="4" customFormat="1" x14ac:dyDescent="0.2">
      <c r="A27" s="4" t="s">
        <v>13</v>
      </c>
      <c r="B27" s="4">
        <f>+B19/B18</f>
        <v>0.18865030674846625</v>
      </c>
      <c r="C27" s="4">
        <f>+C19/C18</f>
        <v>0.22054140127388536</v>
      </c>
      <c r="D27" s="4">
        <f>+D19/D18</f>
        <v>-4.0106951871657758E-3</v>
      </c>
      <c r="E27" s="4">
        <f>+E19/E18</f>
        <v>-0.48860759493670886</v>
      </c>
      <c r="F27" s="4">
        <f>+F19/F18</f>
        <v>0.23142250530785563</v>
      </c>
      <c r="G27" s="4">
        <f>+G19/G18</f>
        <v>-0.16417910447761194</v>
      </c>
      <c r="H27" s="4">
        <f>+H19/H18</f>
        <v>-3.7377049180327866E-2</v>
      </c>
      <c r="I27" s="4">
        <f>+I19/I18</f>
        <v>0.23183925811437403</v>
      </c>
      <c r="J27" s="4">
        <f>+J19/J18</f>
        <v>0.2503968253968254</v>
      </c>
      <c r="K27" s="4">
        <f>+K19/K18</f>
        <v>0.24313326551373346</v>
      </c>
      <c r="L27" s="4">
        <f>+L19/L18</f>
        <v>0.2512473271560941</v>
      </c>
      <c r="M27" s="4">
        <f>+M19/M18</f>
        <v>0.23907259597111363</v>
      </c>
      <c r="N27" s="4">
        <f>+N19/N18</f>
        <v>0.2450288646568313</v>
      </c>
      <c r="O27" s="4">
        <f>+O19/O18</f>
        <v>0.2232521186440678</v>
      </c>
      <c r="P27" s="4">
        <f>+P19/P18</f>
        <v>0.2292929292929293</v>
      </c>
      <c r="Q27" s="4">
        <f>+Q19/Q18</f>
        <v>0.22910547396528705</v>
      </c>
      <c r="R27" s="4">
        <f>+R19/R18</f>
        <v>0.22785787847579814</v>
      </c>
      <c r="AB27" s="4">
        <f>+AB19/AB18</f>
        <v>0.22722722722722724</v>
      </c>
      <c r="AC27" s="4">
        <f>+AC19/AC18</f>
        <v>0.17195362065193612</v>
      </c>
      <c r="AD27" s="4">
        <f>+AD19/AD18</f>
        <v>8.8306778287874699E-2</v>
      </c>
      <c r="AE27" s="4">
        <f>+AE19/AE18</f>
        <v>0.11722538477756694</v>
      </c>
      <c r="AF27" s="4">
        <f>+AF19/AF18</f>
        <v>0.24591967724188521</v>
      </c>
      <c r="AG27" s="4">
        <f>+AG19/AG18</f>
        <v>0.23104322213850265</v>
      </c>
    </row>
    <row r="28" spans="1:33" s="4" customFormat="1" x14ac:dyDescent="0.2"/>
    <row r="29" spans="1:33" s="10" customFormat="1" x14ac:dyDescent="0.2">
      <c r="A29" s="10" t="s">
        <v>14</v>
      </c>
      <c r="F29" s="10">
        <f>+F9/B9-1</f>
        <v>1.827015537223553E-2</v>
      </c>
      <c r="G29" s="10">
        <f>+G9/C9-1</f>
        <v>-1.248120300751876E-2</v>
      </c>
      <c r="H29" s="10">
        <f>+H9/D9-1</f>
        <v>-7.4908275580921613E-3</v>
      </c>
      <c r="I29" s="10">
        <f>+I9/E9-1</f>
        <v>-2.4633148905460645E-2</v>
      </c>
      <c r="J29" s="10">
        <f>+J9/F9-1</f>
        <v>-2.4254473161033796E-2</v>
      </c>
      <c r="K29" s="10">
        <f>+K9/G9-1</f>
        <v>-2.5633216587990448E-2</v>
      </c>
      <c r="L29" s="10">
        <f>+L9/H9-1</f>
        <v>-1.1552087077065232E-2</v>
      </c>
      <c r="M29" s="10">
        <f>+M9/I9-1</f>
        <v>1.0111971587826174E-2</v>
      </c>
      <c r="N29" s="10">
        <f>+N9/J9-1</f>
        <v>-1.935615321923434E-3</v>
      </c>
      <c r="O29" s="10">
        <f>+O9/K9-1</f>
        <v>3.0006251302354681E-2</v>
      </c>
      <c r="P29" s="10">
        <f>+P9/L9-1</f>
        <v>4.7267816330770929E-2</v>
      </c>
      <c r="Q29" s="10">
        <f>+Q9/M9-1</f>
        <v>6.8073054009180511E-2</v>
      </c>
      <c r="R29" s="10">
        <f>+R9/N9-1</f>
        <v>6.5938552618148405E-2</v>
      </c>
      <c r="AC29" s="10">
        <f>+AC9/AB9-1</f>
        <v>0.52000088892839691</v>
      </c>
      <c r="AD29" s="10">
        <f>+AD9/AC9-1</f>
        <v>0.17136716522654494</v>
      </c>
      <c r="AE29" s="10">
        <f>+AE9/AD9-1</f>
        <v>-6.8274295414263442E-3</v>
      </c>
      <c r="AF29" s="10">
        <f>+AF9/AE9-1</f>
        <v>-1.2730768747407972E-2</v>
      </c>
      <c r="AG29" s="10">
        <f>+AG9/AF9-1</f>
        <v>3.6177092084828999E-2</v>
      </c>
    </row>
    <row r="31" spans="1:33" x14ac:dyDescent="0.2">
      <c r="A31" s="1" t="s">
        <v>47</v>
      </c>
      <c r="Q31" s="1">
        <f>+Q32-Q45</f>
        <v>-72856</v>
      </c>
      <c r="R31" s="1">
        <f>+R32-R45</f>
        <v>-73741</v>
      </c>
      <c r="AG31" s="1">
        <f>+AG32-AG45</f>
        <v>-72856</v>
      </c>
    </row>
    <row r="32" spans="1:33" x14ac:dyDescent="0.2">
      <c r="A32" s="1" t="s">
        <v>33</v>
      </c>
      <c r="Q32" s="1">
        <v>5409</v>
      </c>
      <c r="R32" s="1">
        <v>12003</v>
      </c>
      <c r="AG32" s="1">
        <v>5409</v>
      </c>
    </row>
    <row r="33" spans="1:33" x14ac:dyDescent="0.2">
      <c r="A33" s="1" t="s">
        <v>48</v>
      </c>
      <c r="Q33" s="1">
        <v>4276</v>
      </c>
      <c r="R33" s="1">
        <v>4392</v>
      </c>
      <c r="AG33" s="1">
        <v>4276</v>
      </c>
    </row>
    <row r="34" spans="1:33" x14ac:dyDescent="0.2">
      <c r="A34" s="1" t="s">
        <v>49</v>
      </c>
      <c r="Q34" s="1">
        <v>4379</v>
      </c>
      <c r="R34" s="1">
        <v>4294</v>
      </c>
      <c r="AG34" s="1">
        <v>4379</v>
      </c>
    </row>
    <row r="35" spans="1:33" x14ac:dyDescent="0.2">
      <c r="A35" s="1" t="s">
        <v>50</v>
      </c>
      <c r="Q35" s="1">
        <v>1607</v>
      </c>
      <c r="R35" s="1">
        <v>1937</v>
      </c>
      <c r="AG35" s="1">
        <v>1607</v>
      </c>
    </row>
    <row r="36" spans="1:33" x14ac:dyDescent="0.2">
      <c r="A36" s="1" t="s">
        <v>38</v>
      </c>
      <c r="Q36" s="1">
        <v>880</v>
      </c>
      <c r="R36" s="1">
        <v>980</v>
      </c>
      <c r="AG36" s="1">
        <v>880</v>
      </c>
    </row>
    <row r="37" spans="1:33" x14ac:dyDescent="0.2">
      <c r="A37" s="1" t="s">
        <v>68</v>
      </c>
      <c r="Q37" s="1">
        <v>1853</v>
      </c>
      <c r="R37" s="1">
        <v>3835</v>
      </c>
      <c r="AG37" s="1">
        <v>1853</v>
      </c>
    </row>
    <row r="38" spans="1:33" x14ac:dyDescent="0.2">
      <c r="A38" s="1" t="s">
        <v>51</v>
      </c>
      <c r="Q38" s="1">
        <v>38533</v>
      </c>
      <c r="R38" s="1">
        <v>37897</v>
      </c>
      <c r="AG38" s="1">
        <v>38533</v>
      </c>
    </row>
    <row r="39" spans="1:33" x14ac:dyDescent="0.2">
      <c r="A39" s="1" t="s">
        <v>52</v>
      </c>
      <c r="Q39" s="1">
        <f>25398+3091</f>
        <v>28489</v>
      </c>
      <c r="R39" s="1">
        <f>25025+2977</f>
        <v>28002</v>
      </c>
      <c r="AG39" s="1">
        <f>25398+3091</f>
        <v>28489</v>
      </c>
    </row>
    <row r="40" spans="1:33" x14ac:dyDescent="0.2">
      <c r="A40" s="1" t="s">
        <v>53</v>
      </c>
      <c r="Q40" s="1">
        <f>13005+100558+2512</f>
        <v>116075</v>
      </c>
      <c r="R40" s="1">
        <f>13467+98733+2618</f>
        <v>114818</v>
      </c>
      <c r="AG40" s="1">
        <f>13005+100558+2512</f>
        <v>116075</v>
      </c>
    </row>
    <row r="41" spans="1:33" x14ac:dyDescent="0.2">
      <c r="A41" s="1" t="s">
        <v>54</v>
      </c>
      <c r="Q41" s="1">
        <v>2209</v>
      </c>
      <c r="R41" s="1">
        <v>2111</v>
      </c>
      <c r="AG41" s="1">
        <v>2209</v>
      </c>
    </row>
    <row r="42" spans="1:33" x14ac:dyDescent="0.2">
      <c r="A42" s="1" t="s">
        <v>67</v>
      </c>
      <c r="Q42" s="1">
        <v>4325</v>
      </c>
      <c r="R42" s="1">
        <v>4364</v>
      </c>
      <c r="AG42" s="1">
        <v>4325</v>
      </c>
    </row>
    <row r="43" spans="1:33" s="8" customFormat="1" x14ac:dyDescent="0.2">
      <c r="A43" s="8" t="s">
        <v>55</v>
      </c>
      <c r="Q43" s="8">
        <f>+SUM(Q32:Q42)</f>
        <v>208035</v>
      </c>
      <c r="R43" s="8">
        <f>+SUM(R32:R42)</f>
        <v>214633</v>
      </c>
      <c r="AG43" s="8">
        <f>+SUM(AG32:AG42)</f>
        <v>208035</v>
      </c>
    </row>
    <row r="44" spans="1:33" x14ac:dyDescent="0.2">
      <c r="A44" s="1" t="s">
        <v>56</v>
      </c>
      <c r="Q44" s="1">
        <v>8463</v>
      </c>
      <c r="R44" s="1">
        <v>7900</v>
      </c>
      <c r="AG44" s="1">
        <v>8463</v>
      </c>
    </row>
    <row r="45" spans="1:33" x14ac:dyDescent="0.2">
      <c r="A45" s="1" t="s">
        <v>34</v>
      </c>
      <c r="Q45" s="1">
        <f>4068+72700+1497</f>
        <v>78265</v>
      </c>
      <c r="R45" s="1">
        <f>8214+76033+1497</f>
        <v>85744</v>
      </c>
      <c r="AG45" s="1">
        <f>4068+72700+1497</f>
        <v>78265</v>
      </c>
    </row>
    <row r="46" spans="1:33" x14ac:dyDescent="0.2">
      <c r="A46" s="1" t="s">
        <v>57</v>
      </c>
      <c r="Q46" s="1">
        <v>1222</v>
      </c>
      <c r="R46" s="1">
        <v>1193</v>
      </c>
      <c r="AG46" s="1">
        <v>1222</v>
      </c>
    </row>
    <row r="47" spans="1:33" x14ac:dyDescent="0.2">
      <c r="A47" s="1" t="s">
        <v>52</v>
      </c>
      <c r="Q47" s="1">
        <f>3281+1175+26408+1151</f>
        <v>32015</v>
      </c>
      <c r="R47" s="1">
        <f>3305+1136+25974+1117</f>
        <v>31532</v>
      </c>
      <c r="AG47" s="1">
        <f>3281+1175+26408+1151</f>
        <v>32015</v>
      </c>
    </row>
    <row r="48" spans="1:33" x14ac:dyDescent="0.2">
      <c r="A48" s="1" t="s">
        <v>58</v>
      </c>
      <c r="Q48" s="1">
        <v>1965</v>
      </c>
      <c r="R48" s="1">
        <v>1881</v>
      </c>
      <c r="AG48" s="1">
        <v>1965</v>
      </c>
    </row>
    <row r="49" spans="1:33" x14ac:dyDescent="0.2">
      <c r="A49" s="1" t="s">
        <v>59</v>
      </c>
      <c r="Q49" s="1">
        <v>3664</v>
      </c>
      <c r="R49" s="1">
        <v>3634</v>
      </c>
      <c r="AG49" s="1">
        <v>3664</v>
      </c>
    </row>
    <row r="50" spans="1:33" x14ac:dyDescent="0.2">
      <c r="A50" s="1" t="s">
        <v>60</v>
      </c>
      <c r="Q50" s="1">
        <v>16700</v>
      </c>
      <c r="R50" s="1">
        <v>17505</v>
      </c>
      <c r="AG50" s="1">
        <v>16700</v>
      </c>
    </row>
    <row r="51" spans="1:33" x14ac:dyDescent="0.2">
      <c r="A51" s="1" t="s">
        <v>61</v>
      </c>
      <c r="Q51" s="1">
        <v>4000</v>
      </c>
      <c r="R51" s="1">
        <v>4139</v>
      </c>
      <c r="AG51" s="1">
        <v>4000</v>
      </c>
    </row>
    <row r="52" spans="1:33" s="8" customFormat="1" x14ac:dyDescent="0.2">
      <c r="A52" s="8" t="s">
        <v>62</v>
      </c>
      <c r="Q52" s="8">
        <f>+SUM(Q44:Q51)</f>
        <v>146294</v>
      </c>
      <c r="R52" s="8">
        <f>+SUM(R44:R51)</f>
        <v>153528</v>
      </c>
      <c r="AG52" s="8">
        <f>+SUM(AG44:AG51)</f>
        <v>146294</v>
      </c>
    </row>
    <row r="53" spans="1:33" x14ac:dyDescent="0.2">
      <c r="A53" s="1" t="s">
        <v>63</v>
      </c>
      <c r="Q53" s="1">
        <v>61741</v>
      </c>
      <c r="R53" s="1">
        <v>61105</v>
      </c>
      <c r="AG53" s="1">
        <v>61741</v>
      </c>
    </row>
    <row r="54" spans="1:33" x14ac:dyDescent="0.2">
      <c r="A54" s="1" t="s">
        <v>64</v>
      </c>
      <c r="Q54" s="1">
        <f>+Q53+Q52</f>
        <v>208035</v>
      </c>
      <c r="R54" s="1">
        <f>+R53+R52</f>
        <v>214633</v>
      </c>
      <c r="AG54" s="1">
        <f>+AG53+AG52</f>
        <v>208035</v>
      </c>
    </row>
    <row r="56" spans="1:33" x14ac:dyDescent="0.2">
      <c r="A56" s="1" t="s">
        <v>65</v>
      </c>
      <c r="Q56" s="1">
        <f>+SUM(N20:Q20)</f>
        <v>11226</v>
      </c>
      <c r="R56" s="1">
        <f>+SUM(O20:R20)</f>
        <v>11871</v>
      </c>
    </row>
    <row r="57" spans="1:33" s="4" customFormat="1" x14ac:dyDescent="0.2">
      <c r="A57" s="4" t="s">
        <v>66</v>
      </c>
      <c r="Q57" s="4">
        <f>+Q56/(Q33+Q34+Q35+Q36+Q37+Q38+Q39+Q41+Q42)</f>
        <v>0.12970387401647585</v>
      </c>
      <c r="R57" s="4">
        <f>+R56/(R33+R34+R35+R36+R37+R38+R39+R41+R42)</f>
        <v>0.13518653486994944</v>
      </c>
    </row>
    <row r="59" spans="1:33" x14ac:dyDescent="0.2">
      <c r="A59" s="1" t="s">
        <v>69</v>
      </c>
      <c r="N59" s="1">
        <f>+N20</f>
        <v>2354</v>
      </c>
      <c r="O59" s="1">
        <f>+O20</f>
        <v>2933</v>
      </c>
      <c r="P59" s="1">
        <f>+P20</f>
        <v>3052</v>
      </c>
      <c r="Q59" s="1">
        <f>+Q20</f>
        <v>2887</v>
      </c>
      <c r="R59" s="1">
        <f>+R20</f>
        <v>2999</v>
      </c>
      <c r="AG59" s="1">
        <f>+AG20</f>
        <v>11226</v>
      </c>
    </row>
    <row r="60" spans="1:33" x14ac:dyDescent="0.2">
      <c r="A60" s="1" t="s">
        <v>70</v>
      </c>
      <c r="N60" s="1">
        <v>2374</v>
      </c>
      <c r="O60" s="1">
        <v>2925</v>
      </c>
      <c r="P60" s="1">
        <v>3059</v>
      </c>
      <c r="Q60" s="1">
        <f>+AG60-SUM(N60:P60)</f>
        <v>2981</v>
      </c>
      <c r="R60" s="1">
        <v>2953</v>
      </c>
      <c r="AG60" s="1">
        <v>11339</v>
      </c>
    </row>
    <row r="61" spans="1:33" x14ac:dyDescent="0.2">
      <c r="A61" s="1" t="s">
        <v>45</v>
      </c>
      <c r="N61" s="1">
        <v>3371</v>
      </c>
      <c r="O61" s="1">
        <v>3248</v>
      </c>
      <c r="P61" s="1">
        <v>3151</v>
      </c>
      <c r="Q61" s="1">
        <f t="shared" ref="Q61:Q74" si="14">+AG61-SUM(N61:P61)</f>
        <v>3149</v>
      </c>
      <c r="R61" s="1">
        <v>3198</v>
      </c>
      <c r="AG61" s="1">
        <v>12919</v>
      </c>
    </row>
    <row r="62" spans="1:33" x14ac:dyDescent="0.2">
      <c r="A62" s="1" t="s">
        <v>71</v>
      </c>
      <c r="N62" s="1">
        <v>140</v>
      </c>
      <c r="O62" s="1">
        <v>164</v>
      </c>
      <c r="P62" s="1">
        <v>170</v>
      </c>
      <c r="Q62" s="1">
        <f t="shared" si="14"/>
        <v>175</v>
      </c>
      <c r="R62" s="1">
        <v>186</v>
      </c>
      <c r="AG62" s="1">
        <v>649</v>
      </c>
    </row>
    <row r="63" spans="1:33" x14ac:dyDescent="0.2">
      <c r="A63" s="1" t="s">
        <v>60</v>
      </c>
      <c r="N63" s="1">
        <v>715</v>
      </c>
      <c r="O63" s="1">
        <v>747</v>
      </c>
      <c r="P63" s="1">
        <v>817</v>
      </c>
      <c r="Q63" s="1">
        <f t="shared" si="14"/>
        <v>841</v>
      </c>
      <c r="R63" s="1">
        <v>771</v>
      </c>
      <c r="AG63" s="1">
        <v>3120</v>
      </c>
    </row>
    <row r="64" spans="1:33" x14ac:dyDescent="0.2">
      <c r="A64" s="1" t="s">
        <v>72</v>
      </c>
      <c r="N64" s="1">
        <v>282</v>
      </c>
      <c r="O64" s="1">
        <v>255</v>
      </c>
      <c r="P64" s="1">
        <v>299</v>
      </c>
      <c r="Q64" s="1">
        <f t="shared" si="14"/>
        <v>356</v>
      </c>
      <c r="R64" s="1">
        <v>323</v>
      </c>
      <c r="AG64" s="1">
        <v>1192</v>
      </c>
    </row>
    <row r="65" spans="1:33" x14ac:dyDescent="0.2">
      <c r="A65" s="1" t="s">
        <v>73</v>
      </c>
      <c r="N65" s="1">
        <v>21</v>
      </c>
      <c r="O65" s="1">
        <v>25</v>
      </c>
      <c r="P65" s="1">
        <v>23</v>
      </c>
      <c r="Q65" s="1">
        <f t="shared" si="14"/>
        <v>-7</v>
      </c>
      <c r="R65" s="1">
        <v>22</v>
      </c>
      <c r="AG65" s="1">
        <v>62</v>
      </c>
    </row>
    <row r="66" spans="1:33" x14ac:dyDescent="0.2">
      <c r="A66" s="1" t="s">
        <v>48</v>
      </c>
      <c r="N66" s="1">
        <v>-416</v>
      </c>
      <c r="O66" s="1">
        <v>-1286</v>
      </c>
      <c r="P66" s="1">
        <v>-734</v>
      </c>
      <c r="Q66" s="1">
        <f t="shared" si="14"/>
        <v>-652</v>
      </c>
      <c r="R66" s="1">
        <v>-93</v>
      </c>
      <c r="AG66" s="1">
        <v>-3088</v>
      </c>
    </row>
    <row r="67" spans="1:33" x14ac:dyDescent="0.2">
      <c r="A67" s="1" t="s">
        <v>74</v>
      </c>
      <c r="N67" s="1">
        <v>277</v>
      </c>
      <c r="O67" s="1">
        <v>155</v>
      </c>
      <c r="P67" s="1">
        <v>-72</v>
      </c>
      <c r="Q67" s="1">
        <f t="shared" si="14"/>
        <v>-883</v>
      </c>
      <c r="R67" s="1">
        <v>24</v>
      </c>
      <c r="AG67" s="1">
        <v>-523</v>
      </c>
    </row>
    <row r="68" spans="1:33" x14ac:dyDescent="0.2">
      <c r="A68" s="1" t="s">
        <v>50</v>
      </c>
      <c r="N68" s="1">
        <v>170</v>
      </c>
      <c r="O68" s="1">
        <v>221</v>
      </c>
      <c r="P68" s="1">
        <v>-448</v>
      </c>
      <c r="Q68" s="1">
        <f t="shared" si="14"/>
        <v>188</v>
      </c>
      <c r="R68" s="1">
        <v>-318</v>
      </c>
      <c r="AG68" s="1">
        <v>131</v>
      </c>
    </row>
    <row r="69" spans="1:33" x14ac:dyDescent="0.2">
      <c r="A69" s="1" t="s">
        <v>76</v>
      </c>
      <c r="N69" s="1">
        <v>856</v>
      </c>
      <c r="O69" s="1">
        <v>872</v>
      </c>
      <c r="P69" s="1">
        <v>877</v>
      </c>
      <c r="Q69" s="1">
        <f t="shared" si="14"/>
        <v>875</v>
      </c>
      <c r="R69" s="1">
        <v>855</v>
      </c>
      <c r="AG69" s="1">
        <v>3480</v>
      </c>
    </row>
    <row r="70" spans="1:33" x14ac:dyDescent="0.2">
      <c r="A70" s="1" t="s">
        <v>77</v>
      </c>
      <c r="N70" s="1">
        <v>160</v>
      </c>
      <c r="O70" s="1">
        <v>-416</v>
      </c>
      <c r="P70" s="1">
        <v>-19</v>
      </c>
      <c r="Q70" s="1">
        <f t="shared" si="14"/>
        <v>-136</v>
      </c>
      <c r="R70" s="1">
        <v>10</v>
      </c>
      <c r="AG70" s="1">
        <v>-411</v>
      </c>
    </row>
    <row r="71" spans="1:33" x14ac:dyDescent="0.2">
      <c r="A71" s="1" t="s">
        <v>56</v>
      </c>
      <c r="N71" s="1">
        <v>-1734</v>
      </c>
      <c r="O71" s="1">
        <v>38</v>
      </c>
      <c r="P71" s="1">
        <v>-165</v>
      </c>
      <c r="Q71" s="1">
        <f t="shared" si="14"/>
        <v>-180</v>
      </c>
      <c r="R71" s="1">
        <v>-268</v>
      </c>
      <c r="AG71" s="1">
        <v>-2041</v>
      </c>
    </row>
    <row r="72" spans="1:33" x14ac:dyDescent="0.2">
      <c r="A72" s="1" t="s">
        <v>75</v>
      </c>
      <c r="N72" s="1">
        <v>-1017</v>
      </c>
      <c r="O72" s="1">
        <v>-1148</v>
      </c>
      <c r="P72" s="1">
        <v>-805</v>
      </c>
      <c r="Q72" s="1">
        <f t="shared" si="14"/>
        <v>-909</v>
      </c>
      <c r="R72" s="1">
        <v>-898</v>
      </c>
      <c r="AG72" s="1">
        <v>-3879</v>
      </c>
    </row>
    <row r="73" spans="1:33" x14ac:dyDescent="0.2">
      <c r="A73" s="1" t="s">
        <v>78</v>
      </c>
      <c r="N73" s="1">
        <v>-172</v>
      </c>
      <c r="O73" s="1">
        <v>-360</v>
      </c>
      <c r="P73" s="1">
        <v>-125</v>
      </c>
      <c r="Q73" s="1">
        <f t="shared" si="14"/>
        <v>-21</v>
      </c>
      <c r="R73" s="1">
        <v>-88</v>
      </c>
      <c r="AG73" s="1">
        <v>-678</v>
      </c>
    </row>
    <row r="74" spans="1:33" x14ac:dyDescent="0.2">
      <c r="A74" s="1" t="s">
        <v>42</v>
      </c>
      <c r="N74" s="1">
        <v>57</v>
      </c>
      <c r="O74" s="1">
        <v>81</v>
      </c>
      <c r="P74" s="1">
        <v>111</v>
      </c>
      <c r="Q74" s="1">
        <f t="shared" si="14"/>
        <v>-228</v>
      </c>
      <c r="R74" s="1">
        <v>170</v>
      </c>
      <c r="AG74" s="1">
        <v>21</v>
      </c>
    </row>
    <row r="75" spans="1:33" x14ac:dyDescent="0.2">
      <c r="A75" s="1" t="s">
        <v>80</v>
      </c>
      <c r="N75" s="1">
        <f>+SUM(N66:N74)</f>
        <v>-1819</v>
      </c>
      <c r="O75" s="1">
        <f>+SUM(O66:O74)</f>
        <v>-1843</v>
      </c>
      <c r="P75" s="1">
        <f>+SUM(P66:P74)</f>
        <v>-1380</v>
      </c>
      <c r="Q75" s="1">
        <f>+SUM(Q66:Q74)</f>
        <v>-1946</v>
      </c>
      <c r="R75" s="1">
        <f>+SUM(R66:R74)</f>
        <v>-606</v>
      </c>
      <c r="AG75" s="1">
        <f>+SUM(AG66:AG74)</f>
        <v>-6988</v>
      </c>
    </row>
    <row r="76" spans="1:33" s="8" customFormat="1" x14ac:dyDescent="0.2">
      <c r="A76" s="8" t="s">
        <v>79</v>
      </c>
      <c r="N76" s="8">
        <f>+N75+SUM(N60:N65)</f>
        <v>5084</v>
      </c>
      <c r="O76" s="8">
        <f>+O75+SUM(O60:O65)</f>
        <v>5521</v>
      </c>
      <c r="P76" s="8">
        <f>+P75+SUM(P60:P65)</f>
        <v>6139</v>
      </c>
      <c r="Q76" s="8">
        <f>+Q75+SUM(Q60:Q65)</f>
        <v>5549</v>
      </c>
      <c r="R76" s="8">
        <f>+R75+SUM(R60:R65)</f>
        <v>6847</v>
      </c>
      <c r="AG76" s="8">
        <f>+AG75+SUM(AG60:AG65)</f>
        <v>22293</v>
      </c>
    </row>
    <row r="78" spans="1:33" s="8" customFormat="1" x14ac:dyDescent="0.2">
      <c r="A78" s="8" t="s">
        <v>51</v>
      </c>
      <c r="N78" s="8">
        <v>-2627</v>
      </c>
      <c r="O78" s="8">
        <v>-2040</v>
      </c>
      <c r="P78" s="8">
        <v>-1961</v>
      </c>
      <c r="Q78" s="1">
        <f t="shared" ref="Q78:Q83" si="15">+AG78-SUM(N78:P78)</f>
        <v>-2212</v>
      </c>
      <c r="R78" s="8">
        <v>-2451</v>
      </c>
      <c r="AG78" s="8">
        <v>-8840</v>
      </c>
    </row>
    <row r="79" spans="1:33" x14ac:dyDescent="0.2">
      <c r="A79" s="1" t="s">
        <v>81</v>
      </c>
      <c r="N79" s="1">
        <v>-61</v>
      </c>
      <c r="O79" s="1">
        <v>-156</v>
      </c>
      <c r="P79" s="1">
        <v>-2419</v>
      </c>
      <c r="Q79" s="1">
        <f t="shared" si="15"/>
        <v>-835</v>
      </c>
      <c r="R79" s="1">
        <v>-73</v>
      </c>
      <c r="AG79" s="1">
        <v>-3471</v>
      </c>
    </row>
    <row r="80" spans="1:33" x14ac:dyDescent="0.2">
      <c r="A80" s="1" t="s">
        <v>92</v>
      </c>
      <c r="N80" s="1">
        <v>0</v>
      </c>
      <c r="O80" s="1">
        <v>0</v>
      </c>
      <c r="P80" s="1">
        <v>0</v>
      </c>
      <c r="Q80" s="1">
        <f t="shared" si="15"/>
        <v>0</v>
      </c>
      <c r="R80" s="1">
        <v>0</v>
      </c>
      <c r="AG80" s="1">
        <v>0</v>
      </c>
    </row>
    <row r="81" spans="1:33" x14ac:dyDescent="0.2">
      <c r="A81" s="1" t="s">
        <v>82</v>
      </c>
      <c r="N81" s="1">
        <v>890</v>
      </c>
      <c r="O81" s="1">
        <v>958</v>
      </c>
      <c r="P81" s="1">
        <v>984</v>
      </c>
      <c r="Q81" s="1">
        <f t="shared" si="15"/>
        <v>747</v>
      </c>
      <c r="R81" s="1">
        <v>0</v>
      </c>
      <c r="AG81" s="1">
        <v>3579</v>
      </c>
    </row>
    <row r="82" spans="1:33" x14ac:dyDescent="0.2">
      <c r="A82" s="1" t="s">
        <v>83</v>
      </c>
      <c r="N82" s="1">
        <v>0</v>
      </c>
      <c r="O82" s="1">
        <v>-390</v>
      </c>
      <c r="P82" s="1">
        <v>0</v>
      </c>
      <c r="Q82" s="1">
        <f t="shared" si="15"/>
        <v>17</v>
      </c>
      <c r="R82" s="1">
        <v>-727</v>
      </c>
      <c r="AG82" s="1">
        <v>-373</v>
      </c>
    </row>
    <row r="83" spans="1:33" x14ac:dyDescent="0.2">
      <c r="A83" s="1" t="s">
        <v>42</v>
      </c>
      <c r="N83" s="1">
        <v>11</v>
      </c>
      <c r="O83" s="1">
        <v>-50</v>
      </c>
      <c r="P83" s="1">
        <v>89</v>
      </c>
      <c r="Q83" s="1">
        <f t="shared" si="15"/>
        <v>-17</v>
      </c>
      <c r="R83" s="1">
        <v>-158</v>
      </c>
      <c r="AG83" s="1">
        <v>33</v>
      </c>
    </row>
    <row r="84" spans="1:33" x14ac:dyDescent="0.2">
      <c r="A84" s="1" t="s">
        <v>84</v>
      </c>
      <c r="N84" s="1">
        <f>+SUM(N78:N83)</f>
        <v>-1787</v>
      </c>
      <c r="O84" s="1">
        <f>+SUM(O78:O83)</f>
        <v>-1678</v>
      </c>
      <c r="P84" s="1">
        <f>+SUM(P78:P83)</f>
        <v>-3307</v>
      </c>
      <c r="Q84" s="1">
        <f>+SUM(Q78:Q83)</f>
        <v>-2300</v>
      </c>
      <c r="R84" s="1">
        <f>+SUM(R78:R83)</f>
        <v>-3409</v>
      </c>
      <c r="AG84" s="1">
        <f>+SUM(AG78:AG83)</f>
        <v>-9072</v>
      </c>
    </row>
    <row r="86" spans="1:33" x14ac:dyDescent="0.2">
      <c r="A86" s="1" t="s">
        <v>34</v>
      </c>
      <c r="N86" s="1">
        <f>3473-327-223</f>
        <v>2923</v>
      </c>
      <c r="O86" s="1">
        <f>2136-351-2723</f>
        <v>-938</v>
      </c>
      <c r="P86" s="1">
        <f>2480-347-223</f>
        <v>1910</v>
      </c>
      <c r="Q86" s="1">
        <f t="shared" ref="Q86:Q90" si="16">+AG86-SUM(N86:P86)</f>
        <v>-1748</v>
      </c>
      <c r="R86" s="1">
        <f>7774-315-479</f>
        <v>6980</v>
      </c>
      <c r="AG86" s="1">
        <f>8587-1367-5073</f>
        <v>2147</v>
      </c>
    </row>
    <row r="87" spans="1:33" x14ac:dyDescent="0.2">
      <c r="A87" s="1" t="s">
        <v>85</v>
      </c>
      <c r="N87" s="1">
        <v>-3594</v>
      </c>
      <c r="O87" s="1">
        <v>-2387</v>
      </c>
      <c r="P87" s="1">
        <v>-560</v>
      </c>
      <c r="Q87" s="1">
        <f t="shared" si="16"/>
        <v>-4687</v>
      </c>
      <c r="R87" s="1">
        <v>-2494</v>
      </c>
      <c r="AG87" s="1">
        <v>-11228</v>
      </c>
    </row>
    <row r="88" spans="1:33" x14ac:dyDescent="0.2">
      <c r="A88" s="1" t="s">
        <v>86</v>
      </c>
      <c r="N88" s="1">
        <v>-769</v>
      </c>
      <c r="O88" s="1">
        <v>-759</v>
      </c>
      <c r="P88" s="1">
        <v>-758</v>
      </c>
      <c r="Q88" s="1">
        <f t="shared" si="16"/>
        <v>-1014</v>
      </c>
      <c r="R88" s="1">
        <v>-1003</v>
      </c>
      <c r="AG88" s="1">
        <v>-3300</v>
      </c>
    </row>
    <row r="89" spans="1:33" x14ac:dyDescent="0.2">
      <c r="A89" s="1" t="s">
        <v>87</v>
      </c>
      <c r="N89" s="1">
        <v>-192</v>
      </c>
      <c r="O89" s="1">
        <v>-16</v>
      </c>
      <c r="P89" s="1">
        <v>-36</v>
      </c>
      <c r="Q89" s="1">
        <f t="shared" si="16"/>
        <v>-25</v>
      </c>
      <c r="R89" s="1">
        <v>-272</v>
      </c>
      <c r="AG89" s="1">
        <v>-269</v>
      </c>
    </row>
    <row r="90" spans="1:33" x14ac:dyDescent="0.2">
      <c r="A90" s="1" t="s">
        <v>42</v>
      </c>
      <c r="N90" s="1">
        <v>-34</v>
      </c>
      <c r="O90" s="1">
        <v>-34</v>
      </c>
      <c r="P90" s="1">
        <v>-49</v>
      </c>
      <c r="Q90" s="1">
        <f t="shared" si="16"/>
        <v>-48</v>
      </c>
      <c r="R90" s="1">
        <v>-18</v>
      </c>
      <c r="AG90" s="1">
        <v>-165</v>
      </c>
    </row>
    <row r="91" spans="1:33" x14ac:dyDescent="0.2">
      <c r="A91" s="1" t="s">
        <v>88</v>
      </c>
      <c r="N91" s="1">
        <f>+SUM(N86:N90)</f>
        <v>-1666</v>
      </c>
      <c r="O91" s="1">
        <f>+SUM(O86:O90)</f>
        <v>-4134</v>
      </c>
      <c r="P91" s="1">
        <f>+SUM(P86:P90)</f>
        <v>507</v>
      </c>
      <c r="Q91" s="1">
        <f>+SUM(Q86:Q90)</f>
        <v>-7522</v>
      </c>
      <c r="R91" s="1">
        <f>+SUM(R86:R90)</f>
        <v>3193</v>
      </c>
      <c r="AG91" s="1">
        <f>+SUM(AG86:AG90)</f>
        <v>-12815</v>
      </c>
    </row>
    <row r="92" spans="1:33" x14ac:dyDescent="0.2">
      <c r="A92" s="1" t="s">
        <v>89</v>
      </c>
      <c r="N92" s="1">
        <f>+N76+N84+N91</f>
        <v>1631</v>
      </c>
      <c r="O92" s="1">
        <f>+O76+O84+O91</f>
        <v>-291</v>
      </c>
      <c r="P92" s="1">
        <f>+P76+P84+P91</f>
        <v>3339</v>
      </c>
      <c r="Q92" s="1">
        <f>+Q76+Q84+Q91</f>
        <v>-4273</v>
      </c>
      <c r="R92" s="1">
        <f>+R76+R84+R91</f>
        <v>6631</v>
      </c>
      <c r="AG92" s="1">
        <f>+AG76+AG84+AG91</f>
        <v>406</v>
      </c>
    </row>
    <row r="94" spans="1:33" s="8" customFormat="1" x14ac:dyDescent="0.2">
      <c r="A94" s="8" t="s">
        <v>90</v>
      </c>
      <c r="N94" s="8">
        <f>+N76+N78</f>
        <v>2457</v>
      </c>
      <c r="O94" s="8">
        <f>+O76+O78</f>
        <v>3481</v>
      </c>
      <c r="P94" s="8">
        <f>+P76+P78</f>
        <v>4178</v>
      </c>
      <c r="Q94" s="8">
        <f>+Q76+Q78</f>
        <v>3337</v>
      </c>
      <c r="R94" s="8">
        <f>+R76+R78</f>
        <v>4396</v>
      </c>
      <c r="AG94" s="8">
        <f>+AG76+AG78</f>
        <v>13453</v>
      </c>
    </row>
    <row r="95" spans="1:33" x14ac:dyDescent="0.2">
      <c r="A95" s="1" t="s">
        <v>91</v>
      </c>
      <c r="Q95" s="1">
        <f>+SUM(N94:Q94)</f>
        <v>13453</v>
      </c>
      <c r="R95" s="1">
        <f>+SUM(O94:R94)</f>
        <v>15392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2025-05-04T05:55:34Z</dcterms:created>
  <dcterms:modified xsi:type="dcterms:W3CDTF">2025-05-04T08:24:13Z</dcterms:modified>
</cp:coreProperties>
</file>