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8_{D7C15D0F-C1CC-49D0-8AD5-EFF0FBDDD88F}" xr6:coauthVersionLast="47" xr6:coauthVersionMax="47" xr10:uidLastSave="{00000000-0000-0000-0000-000000000000}"/>
  <bookViews>
    <workbookView xWindow="14400" yWindow="0" windowWidth="14400" windowHeight="15600" xr2:uid="{2F073727-A977-425B-8D8A-848C28E6E157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7" i="2" l="1"/>
  <c r="AD22" i="2"/>
  <c r="AE22" i="2" s="1"/>
  <c r="AF22" i="2" s="1"/>
  <c r="AG22" i="2" s="1"/>
  <c r="AH22" i="2" s="1"/>
  <c r="AI22" i="2" s="1"/>
  <c r="AJ22" i="2" s="1"/>
  <c r="AK22" i="2" s="1"/>
  <c r="AL22" i="2" s="1"/>
  <c r="AC22" i="2"/>
  <c r="AL35" i="2"/>
  <c r="AK35" i="2"/>
  <c r="AJ35" i="2"/>
  <c r="AI35" i="2"/>
  <c r="AH35" i="2"/>
  <c r="AG35" i="2"/>
  <c r="AF35" i="2"/>
  <c r="AE35" i="2"/>
  <c r="AD35" i="2"/>
  <c r="AC35" i="2"/>
  <c r="AD29" i="2"/>
  <c r="AE29" i="2" s="1"/>
  <c r="AF29" i="2" s="1"/>
  <c r="AG29" i="2" s="1"/>
  <c r="AH29" i="2" s="1"/>
  <c r="AI29" i="2" s="1"/>
  <c r="AJ29" i="2" s="1"/>
  <c r="AK29" i="2" s="1"/>
  <c r="AL29" i="2" s="1"/>
  <c r="AC29" i="2"/>
  <c r="AC24" i="2"/>
  <c r="AD18" i="2"/>
  <c r="AE18" i="2" s="1"/>
  <c r="AF18" i="2" s="1"/>
  <c r="AG18" i="2" s="1"/>
  <c r="AH18" i="2" s="1"/>
  <c r="AI18" i="2" s="1"/>
  <c r="AJ18" i="2" s="1"/>
  <c r="AK18" i="2" s="1"/>
  <c r="AL18" i="2" s="1"/>
  <c r="AC18" i="2"/>
  <c r="Q18" i="2"/>
  <c r="M4" i="2"/>
  <c r="L4" i="2"/>
  <c r="K4" i="2"/>
  <c r="J4" i="2"/>
  <c r="I4" i="2"/>
  <c r="N4" i="2"/>
  <c r="AA4" i="2"/>
  <c r="Z4" i="2"/>
  <c r="Y4" i="2"/>
  <c r="X4" i="2"/>
  <c r="W4" i="2"/>
  <c r="V4" i="2"/>
  <c r="U4" i="2"/>
  <c r="T4" i="2"/>
  <c r="S4" i="2"/>
  <c r="R4" i="2"/>
  <c r="AB4" i="2"/>
  <c r="AA12" i="2"/>
  <c r="AA8" i="2"/>
  <c r="AA7" i="2"/>
  <c r="AA6" i="2"/>
  <c r="AA14" i="2"/>
  <c r="AA13" i="2"/>
  <c r="AA11" i="2"/>
  <c r="AA10" i="2"/>
  <c r="AA17" i="2"/>
  <c r="AA16" i="2"/>
  <c r="AA29" i="2"/>
  <c r="AA26" i="2"/>
  <c r="AA21" i="2"/>
  <c r="AA20" i="2"/>
  <c r="AA19" i="2"/>
  <c r="AA22" i="2" s="1"/>
  <c r="AA23" i="2" s="1"/>
  <c r="AA18" i="2"/>
  <c r="E24" i="2"/>
  <c r="E22" i="2"/>
  <c r="E23" i="2" s="1"/>
  <c r="F24" i="2"/>
  <c r="F22" i="2"/>
  <c r="F23" i="2" s="1"/>
  <c r="F31" i="2" s="1"/>
  <c r="AB7" i="2"/>
  <c r="AB17" i="2"/>
  <c r="AB16" i="2"/>
  <c r="AB14" i="2"/>
  <c r="AB13" i="2"/>
  <c r="AB12" i="2"/>
  <c r="AB11" i="2"/>
  <c r="AB10" i="2"/>
  <c r="AB8" i="2"/>
  <c r="AB6" i="2"/>
  <c r="AB84" i="2"/>
  <c r="AB82" i="2"/>
  <c r="AB81" i="2"/>
  <c r="AB80" i="2"/>
  <c r="AB79" i="2"/>
  <c r="AB78" i="2"/>
  <c r="AB75" i="2"/>
  <c r="AB73" i="2"/>
  <c r="AB70" i="2"/>
  <c r="AB69" i="2"/>
  <c r="AB68" i="2"/>
  <c r="AB67" i="2"/>
  <c r="AB29" i="2"/>
  <c r="AB26" i="2"/>
  <c r="AB21" i="2"/>
  <c r="AB20" i="2"/>
  <c r="AB19" i="2"/>
  <c r="AB18" i="2"/>
  <c r="R24" i="2"/>
  <c r="R22" i="2"/>
  <c r="R23" i="2" s="1"/>
  <c r="S24" i="2"/>
  <c r="S35" i="2"/>
  <c r="S22" i="2"/>
  <c r="S23" i="2" s="1"/>
  <c r="T24" i="2"/>
  <c r="T35" i="2"/>
  <c r="T22" i="2"/>
  <c r="T23" i="2" s="1"/>
  <c r="U24" i="2"/>
  <c r="U35" i="2"/>
  <c r="U22" i="2"/>
  <c r="U23" i="2" s="1"/>
  <c r="V24" i="2"/>
  <c r="V35" i="2"/>
  <c r="V22" i="2"/>
  <c r="V23" i="2" s="1"/>
  <c r="W24" i="2"/>
  <c r="W35" i="2"/>
  <c r="W22" i="2"/>
  <c r="W23" i="2" s="1"/>
  <c r="X24" i="2"/>
  <c r="X35" i="2"/>
  <c r="X22" i="2"/>
  <c r="X23" i="2" s="1"/>
  <c r="Y24" i="2"/>
  <c r="Y35" i="2"/>
  <c r="Y22" i="2"/>
  <c r="Y23" i="2" s="1"/>
  <c r="Z24" i="2"/>
  <c r="Z22" i="2"/>
  <c r="Z23" i="2" s="1"/>
  <c r="Z35" i="2"/>
  <c r="AB71" i="2"/>
  <c r="AB54" i="2"/>
  <c r="AB53" i="2"/>
  <c r="AB51" i="2"/>
  <c r="AB49" i="2"/>
  <c r="AB44" i="2"/>
  <c r="AB38" i="2"/>
  <c r="AB48" i="2" s="1"/>
  <c r="AA35" i="2"/>
  <c r="AB22" i="2"/>
  <c r="L9" i="1"/>
  <c r="M88" i="2"/>
  <c r="K83" i="2"/>
  <c r="K76" i="2"/>
  <c r="K71" i="2"/>
  <c r="K87" i="2" s="1"/>
  <c r="K35" i="2"/>
  <c r="G22" i="2"/>
  <c r="G23" i="2" s="1"/>
  <c r="G24" i="2"/>
  <c r="AA24" i="2" s="1"/>
  <c r="K24" i="2"/>
  <c r="K22" i="2"/>
  <c r="K23" i="2" s="1"/>
  <c r="L74" i="2"/>
  <c r="L76" i="2" s="1"/>
  <c r="L83" i="2"/>
  <c r="L71" i="2"/>
  <c r="L87" i="2" s="1"/>
  <c r="H24" i="2"/>
  <c r="H22" i="2"/>
  <c r="H23" i="2" s="1"/>
  <c r="L24" i="2"/>
  <c r="L35" i="2"/>
  <c r="L22" i="2"/>
  <c r="L23" i="2" s="1"/>
  <c r="L31" i="2" s="1"/>
  <c r="I83" i="2"/>
  <c r="I76" i="2"/>
  <c r="I71" i="2"/>
  <c r="I87" i="2" s="1"/>
  <c r="AB87" i="2" s="1"/>
  <c r="M74" i="2"/>
  <c r="M76" i="2" s="1"/>
  <c r="M83" i="2"/>
  <c r="M71" i="2"/>
  <c r="M87" i="2" s="1"/>
  <c r="N88" i="2" s="1"/>
  <c r="M54" i="2"/>
  <c r="M49" i="2"/>
  <c r="M59" i="2" s="1"/>
  <c r="M61" i="2" s="1"/>
  <c r="M38" i="2"/>
  <c r="M48" i="2" s="1"/>
  <c r="I24" i="2"/>
  <c r="AB24" i="2" s="1"/>
  <c r="I35" i="2"/>
  <c r="I22" i="2"/>
  <c r="I23" i="2" s="1"/>
  <c r="M24" i="2"/>
  <c r="M35" i="2"/>
  <c r="M22" i="2"/>
  <c r="M23" i="2" s="1"/>
  <c r="J74" i="2"/>
  <c r="AB74" i="2" s="1"/>
  <c r="AB76" i="2" s="1"/>
  <c r="J83" i="2"/>
  <c r="J76" i="2"/>
  <c r="J71" i="2"/>
  <c r="J87" i="2" s="1"/>
  <c r="N83" i="2"/>
  <c r="N76" i="2"/>
  <c r="N74" i="2"/>
  <c r="N71" i="2"/>
  <c r="N87" i="2" s="1"/>
  <c r="L54" i="2"/>
  <c r="L53" i="2"/>
  <c r="L51" i="2"/>
  <c r="L49" i="2"/>
  <c r="L44" i="2"/>
  <c r="L38" i="2"/>
  <c r="N54" i="2"/>
  <c r="N53" i="2"/>
  <c r="N51" i="2"/>
  <c r="N49" i="2"/>
  <c r="N44" i="2"/>
  <c r="N38" i="2"/>
  <c r="J24" i="2"/>
  <c r="J35" i="2"/>
  <c r="J22" i="2"/>
  <c r="J23" i="2" s="1"/>
  <c r="N35" i="2"/>
  <c r="N24" i="2"/>
  <c r="N22" i="2"/>
  <c r="N23" i="2" s="1"/>
  <c r="AN27" i="2" l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AC23" i="2"/>
  <c r="AC31" i="2" s="1"/>
  <c r="AC25" i="2"/>
  <c r="AD23" i="2"/>
  <c r="AD31" i="2" s="1"/>
  <c r="AC26" i="2"/>
  <c r="AC33" i="2" s="1"/>
  <c r="AE23" i="2"/>
  <c r="AE31" i="2" s="1"/>
  <c r="N85" i="2"/>
  <c r="L88" i="2"/>
  <c r="AB37" i="2"/>
  <c r="AB59" i="2"/>
  <c r="AB61" i="2" s="1"/>
  <c r="AB83" i="2"/>
  <c r="AA31" i="2"/>
  <c r="AA25" i="2"/>
  <c r="AA27" i="2" s="1"/>
  <c r="AA28" i="2" s="1"/>
  <c r="E31" i="2"/>
  <c r="E25" i="2"/>
  <c r="F25" i="2"/>
  <c r="AB85" i="2"/>
  <c r="AB35" i="2"/>
  <c r="AB23" i="2"/>
  <c r="R31" i="2"/>
  <c r="R25" i="2"/>
  <c r="S31" i="2"/>
  <c r="S25" i="2"/>
  <c r="T31" i="2"/>
  <c r="T25" i="2"/>
  <c r="U31" i="2"/>
  <c r="U25" i="2"/>
  <c r="V31" i="2"/>
  <c r="V25" i="2"/>
  <c r="W31" i="2"/>
  <c r="W25" i="2"/>
  <c r="X31" i="2"/>
  <c r="X25" i="2"/>
  <c r="Y31" i="2"/>
  <c r="Y25" i="2"/>
  <c r="Z31" i="2"/>
  <c r="Z25" i="2"/>
  <c r="Z27" i="2" s="1"/>
  <c r="K85" i="2"/>
  <c r="G31" i="2"/>
  <c r="G25" i="2"/>
  <c r="K25" i="2"/>
  <c r="K31" i="2"/>
  <c r="L85" i="2"/>
  <c r="H25" i="2"/>
  <c r="H31" i="2"/>
  <c r="L25" i="2"/>
  <c r="I85" i="2"/>
  <c r="M85" i="2"/>
  <c r="M37" i="2"/>
  <c r="I25" i="2"/>
  <c r="I31" i="2"/>
  <c r="M31" i="2"/>
  <c r="M25" i="2"/>
  <c r="J85" i="2"/>
  <c r="L59" i="2"/>
  <c r="L61" i="2" s="1"/>
  <c r="N48" i="2"/>
  <c r="N59" i="2"/>
  <c r="N61" i="2" s="1"/>
  <c r="N37" i="2"/>
  <c r="N25" i="2"/>
  <c r="N31" i="2"/>
  <c r="L48" i="2"/>
  <c r="L37" i="2"/>
  <c r="J31" i="2"/>
  <c r="J25" i="2"/>
  <c r="L4" i="1"/>
  <c r="L7" i="1"/>
  <c r="L6" i="1"/>
  <c r="L5" i="1"/>
  <c r="AO33" i="2" l="1"/>
  <c r="AO34" i="2" s="1"/>
  <c r="AO35" i="2" s="1"/>
  <c r="AC27" i="2"/>
  <c r="AC28" i="2"/>
  <c r="AC32" i="2"/>
  <c r="AC37" i="2"/>
  <c r="AF23" i="2"/>
  <c r="AF31" i="2" s="1"/>
  <c r="AA32" i="2"/>
  <c r="AA33" i="2"/>
  <c r="E33" i="2"/>
  <c r="E27" i="2"/>
  <c r="F33" i="2"/>
  <c r="F27" i="2"/>
  <c r="AB31" i="2"/>
  <c r="AB25" i="2"/>
  <c r="R33" i="2"/>
  <c r="R27" i="2"/>
  <c r="S33" i="2"/>
  <c r="S27" i="2"/>
  <c r="T33" i="2"/>
  <c r="T27" i="2"/>
  <c r="U33" i="2"/>
  <c r="U27" i="2"/>
  <c r="V33" i="2"/>
  <c r="V27" i="2"/>
  <c r="W33" i="2"/>
  <c r="W27" i="2"/>
  <c r="X33" i="2"/>
  <c r="X27" i="2"/>
  <c r="Y33" i="2"/>
  <c r="Y27" i="2"/>
  <c r="Z33" i="2"/>
  <c r="Z32" i="2"/>
  <c r="Z28" i="2"/>
  <c r="G33" i="2"/>
  <c r="G27" i="2"/>
  <c r="K33" i="2"/>
  <c r="K27" i="2"/>
  <c r="K66" i="2" s="1"/>
  <c r="H33" i="2"/>
  <c r="H27" i="2"/>
  <c r="L33" i="2"/>
  <c r="L27" i="2"/>
  <c r="L66" i="2" s="1"/>
  <c r="I33" i="2"/>
  <c r="I27" i="2"/>
  <c r="I66" i="2" s="1"/>
  <c r="AB66" i="2" s="1"/>
  <c r="M33" i="2"/>
  <c r="M27" i="2"/>
  <c r="M66" i="2" s="1"/>
  <c r="N27" i="2"/>
  <c r="N66" i="2" s="1"/>
  <c r="N33" i="2"/>
  <c r="J33" i="2"/>
  <c r="J27" i="2"/>
  <c r="J66" i="2" s="1"/>
  <c r="AD24" i="2" l="1"/>
  <c r="AD25" i="2" s="1"/>
  <c r="AD26" i="2" s="1"/>
  <c r="AG23" i="2"/>
  <c r="AG31" i="2" s="1"/>
  <c r="E32" i="2"/>
  <c r="E28" i="2"/>
  <c r="F32" i="2"/>
  <c r="F28" i="2"/>
  <c r="AB27" i="2"/>
  <c r="AB33" i="2"/>
  <c r="R32" i="2"/>
  <c r="R28" i="2"/>
  <c r="S32" i="2"/>
  <c r="S28" i="2"/>
  <c r="T32" i="2"/>
  <c r="T28" i="2"/>
  <c r="U32" i="2"/>
  <c r="U28" i="2"/>
  <c r="V32" i="2"/>
  <c r="V28" i="2"/>
  <c r="W32" i="2"/>
  <c r="W28" i="2"/>
  <c r="X32" i="2"/>
  <c r="X28" i="2"/>
  <c r="Y32" i="2"/>
  <c r="Y28" i="2"/>
  <c r="G32" i="2"/>
  <c r="G28" i="2"/>
  <c r="K32" i="2"/>
  <c r="K28" i="2"/>
  <c r="H32" i="2"/>
  <c r="H28" i="2"/>
  <c r="L32" i="2"/>
  <c r="M63" i="2"/>
  <c r="M64" i="2" s="1"/>
  <c r="L28" i="2"/>
  <c r="L63" i="2"/>
  <c r="L64" i="2" s="1"/>
  <c r="I32" i="2"/>
  <c r="I28" i="2"/>
  <c r="M32" i="2"/>
  <c r="M28" i="2"/>
  <c r="N32" i="2"/>
  <c r="N63" i="2"/>
  <c r="N64" i="2" s="1"/>
  <c r="N28" i="2"/>
  <c r="J32" i="2"/>
  <c r="J28" i="2"/>
  <c r="AD27" i="2" l="1"/>
  <c r="AD33" i="2"/>
  <c r="AH23" i="2"/>
  <c r="AH31" i="2" s="1"/>
  <c r="AB28" i="2"/>
  <c r="AB63" i="2"/>
  <c r="AB64" i="2" s="1"/>
  <c r="AB32" i="2"/>
  <c r="AD28" i="2" l="1"/>
  <c r="AD32" i="2"/>
  <c r="AD37" i="2"/>
  <c r="AE24" i="2" s="1"/>
  <c r="AE25" i="2" s="1"/>
  <c r="AE26" i="2" s="1"/>
  <c r="AI23" i="2"/>
  <c r="AI31" i="2" s="1"/>
  <c r="AE27" i="2" l="1"/>
  <c r="AE33" i="2"/>
  <c r="AJ23" i="2"/>
  <c r="AJ31" i="2" s="1"/>
  <c r="AE37" i="2" l="1"/>
  <c r="AF24" i="2" s="1"/>
  <c r="AF25" i="2" s="1"/>
  <c r="AF26" i="2" s="1"/>
  <c r="AE28" i="2"/>
  <c r="AE32" i="2"/>
  <c r="AK23" i="2"/>
  <c r="AK31" i="2" s="1"/>
  <c r="AL23" i="2"/>
  <c r="AL31" i="2" s="1"/>
  <c r="AF27" i="2" l="1"/>
  <c r="AF33" i="2"/>
  <c r="AF37" i="2" l="1"/>
  <c r="AG24" i="2" s="1"/>
  <c r="AG25" i="2" s="1"/>
  <c r="AG26" i="2" s="1"/>
  <c r="AF32" i="2"/>
  <c r="AF28" i="2"/>
  <c r="AG27" i="2" l="1"/>
  <c r="AG33" i="2"/>
  <c r="AG37" i="2" l="1"/>
  <c r="AH24" i="2" s="1"/>
  <c r="AH25" i="2" s="1"/>
  <c r="AH26" i="2" s="1"/>
  <c r="AG32" i="2"/>
  <c r="AG28" i="2"/>
  <c r="AH27" i="2" l="1"/>
  <c r="AH33" i="2"/>
  <c r="AH37" i="2" l="1"/>
  <c r="AI24" i="2" s="1"/>
  <c r="AI25" i="2" s="1"/>
  <c r="AI26" i="2" s="1"/>
  <c r="AH32" i="2"/>
  <c r="AH28" i="2"/>
  <c r="AI27" i="2" l="1"/>
  <c r="AI33" i="2"/>
  <c r="AI37" i="2" l="1"/>
  <c r="AJ24" i="2" s="1"/>
  <c r="AJ25" i="2" s="1"/>
  <c r="AJ26" i="2" s="1"/>
  <c r="AI32" i="2"/>
  <c r="AI28" i="2"/>
  <c r="AJ27" i="2" l="1"/>
  <c r="AJ33" i="2"/>
  <c r="AJ37" i="2" l="1"/>
  <c r="AK24" i="2" s="1"/>
  <c r="AK25" i="2" s="1"/>
  <c r="AJ32" i="2"/>
  <c r="AJ28" i="2"/>
  <c r="AK26" i="2" l="1"/>
  <c r="AK33" i="2" s="1"/>
  <c r="AK27" i="2" l="1"/>
  <c r="AK37" i="2" l="1"/>
  <c r="AL24" i="2" s="1"/>
  <c r="AL25" i="2" s="1"/>
  <c r="AL26" i="2" s="1"/>
  <c r="AK32" i="2"/>
  <c r="AK28" i="2"/>
  <c r="AL27" i="2" l="1"/>
  <c r="AL33" i="2"/>
  <c r="AL37" i="2" l="1"/>
  <c r="AL28" i="2"/>
  <c r="AL32" i="2"/>
</calcChain>
</file>

<file path=xl/sharedStrings.xml><?xml version="1.0" encoding="utf-8"?>
<sst xmlns="http://schemas.openxmlformats.org/spreadsheetml/2006/main" count="118" uniqueCount="109">
  <si>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</si>
  <si>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</si>
  <si>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</si>
  <si>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</si>
  <si>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</si>
  <si>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</si>
  <si>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</si>
  <si>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</si>
  <si>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</si>
  <si>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S&amp;M</t>
  </si>
  <si>
    <t>G&amp;A</t>
  </si>
  <si>
    <t>OpEx</t>
  </si>
  <si>
    <t>OpIn</t>
  </si>
  <si>
    <t>Interest</t>
  </si>
  <si>
    <t>Pretax</t>
  </si>
  <si>
    <t>Taxes</t>
  </si>
  <si>
    <t>NI</t>
  </si>
  <si>
    <t>EPS</t>
  </si>
  <si>
    <t>Op margin</t>
  </si>
  <si>
    <t>Net margin</t>
  </si>
  <si>
    <t>Tax rate</t>
  </si>
  <si>
    <t>Revenue y/y</t>
  </si>
  <si>
    <t>FQ225</t>
  </si>
  <si>
    <t>FQ224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</si>
  <si>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</si>
  <si>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</si>
  <si>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</si>
  <si>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</si>
  <si>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</si>
  <si>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</si>
  <si>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</si>
  <si>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</si>
  <si>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</si>
  <si>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</si>
  <si>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</si>
  <si>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</si>
  <si>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</si>
  <si>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</si>
  <si>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</si>
  <si>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</si>
  <si>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</si>
  <si>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</si>
  <si>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</si>
  <si>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</si>
  <si>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</si>
  <si>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Net cash</t>
  </si>
  <si>
    <t>AR</t>
  </si>
  <si>
    <t>OCA</t>
  </si>
  <si>
    <t>Contract non-current</t>
  </si>
  <si>
    <t>PP&amp;E</t>
  </si>
  <si>
    <t>Lease</t>
  </si>
  <si>
    <t>Goodwill</t>
  </si>
  <si>
    <t>Deferred contract cost</t>
  </si>
  <si>
    <t>DT</t>
  </si>
  <si>
    <t>ONCA</t>
  </si>
  <si>
    <t>Assets</t>
  </si>
  <si>
    <t>AP</t>
  </si>
  <si>
    <t>DR</t>
  </si>
  <si>
    <t>Accrued payroll</t>
  </si>
  <si>
    <t>Retirement</t>
  </si>
  <si>
    <t>ONCL</t>
  </si>
  <si>
    <t>Liabilties</t>
  </si>
  <si>
    <t>S/E</t>
  </si>
  <si>
    <t>L+S/E</t>
  </si>
  <si>
    <t>Accrued liabilties</t>
  </si>
  <si>
    <t>NI TTM</t>
  </si>
  <si>
    <t>ROTA</t>
  </si>
  <si>
    <t>New Bookings</t>
  </si>
  <si>
    <t>Consulting</t>
  </si>
  <si>
    <t>Service</t>
  </si>
  <si>
    <t>Americas</t>
  </si>
  <si>
    <t>EMEA</t>
  </si>
  <si>
    <t>Asia Pacific</t>
  </si>
  <si>
    <t>Communication, Media &amp; Technology</t>
  </si>
  <si>
    <t>Financial Services</t>
  </si>
  <si>
    <t>Health &amp; Public Service</t>
  </si>
  <si>
    <t>Products</t>
  </si>
  <si>
    <t>Resources</t>
  </si>
  <si>
    <t>Model NI</t>
  </si>
  <si>
    <t>Reported NI</t>
  </si>
  <si>
    <t>D&amp;A</t>
  </si>
  <si>
    <t>SBC</t>
  </si>
  <si>
    <t>WC</t>
  </si>
  <si>
    <t>CFFO</t>
  </si>
  <si>
    <t>CapEx</t>
  </si>
  <si>
    <t>Investments</t>
  </si>
  <si>
    <t>CFFI</t>
  </si>
  <si>
    <t>Issuance</t>
  </si>
  <si>
    <t>Buybacks</t>
  </si>
  <si>
    <t>Dividends</t>
  </si>
  <si>
    <t>Other</t>
  </si>
  <si>
    <t>CFFF</t>
  </si>
  <si>
    <t>FX</t>
  </si>
  <si>
    <t>CIC</t>
  </si>
  <si>
    <t>FCF</t>
  </si>
  <si>
    <t>FQ125</t>
  </si>
  <si>
    <t>FQ124</t>
  </si>
  <si>
    <t>FQ424</t>
  </si>
  <si>
    <t>FQ423</t>
  </si>
  <si>
    <t>FQ324</t>
  </si>
  <si>
    <t>FQ323</t>
  </si>
  <si>
    <t>TTM</t>
  </si>
  <si>
    <t>FQ223</t>
  </si>
  <si>
    <t>FQ123</t>
  </si>
  <si>
    <t>FY13</t>
  </si>
  <si>
    <t>Terminal</t>
  </si>
  <si>
    <t>Discount</t>
  </si>
  <si>
    <t>NPV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</si>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</sst>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d/mm/yy;@"/>
    <numFmt numFmtId="167" formatCode="0\x"/>
    <numFmt numFmtId="168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166" fontId="2" fillId="0" borderId="0" xfId="1" applyNumberFormat="1"/>
    <xf numFmtId="166" fontId="0" fillId="0" borderId="0" xfId="0" applyNumberFormat="1"/>
    <xf numFmtId="3" fontId="0" fillId="0" borderId="0" xfId="0" applyNumberFormat="1" applyAlignment="1">
      <alignment horizontal="right"/>
    </xf>
    <xf numFmtId="167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9525</xdr:rowOff>
    </xdr:from>
    <xdr:to>
      <xdr:col>14</xdr:col>
      <xdr:colOff>28575</xdr:colOff>
      <xdr:row>86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AC6024-B366-E311-1F68-9B9FB6C4F0C0}"/>
            </a:ext>
          </a:extLst>
        </xdr:cNvPr>
        <xdr:cNvCxnSpPr/>
      </xdr:nvCxnSpPr>
      <xdr:spPr>
        <a:xfrm>
          <a:off x="8486775" y="9525"/>
          <a:ext cx="0" cy="13744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90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4F82B1B-2FD3-4E78-80D2-508DDC88552B}"/>
            </a:ext>
          </a:extLst>
        </xdr:cNvPr>
        <xdr:cNvCxnSpPr/>
      </xdr:nvCxnSpPr>
      <xdr:spPr>
        <a:xfrm>
          <a:off x="17002125" y="0"/>
          <a:ext cx="0" cy="145256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20A0-DD01-42EE-83E6-80D025F32736}">
  <dimension ref="K2:L9"/>
  <sheetViews>
    <sheetView tabSelected="1" workbookViewId="0">
      <selection activeCell="J6" sqref="J6"/>
    </sheetView>
  </sheetViews>
  <sheetFormatPr defaultRowHeight="12.75" x14ac:dyDescent="0.2"/>
  <cols>
    <col min="1" max="1" width="5" bestFit="1" customWidth="1"/>
  </cols>
  <sheetData>
    <row r="2" spans="11:12" x14ac:dyDescent="0.2">
      <c r="K2" t="s">
        <v>0</v>
      </c>
      <c r="L2" s="1">
        <v>293.39</v>
      </c>
    </row>
    <row r="3" spans="11:12" x14ac:dyDescent="0.2">
      <c r="K3" t="s">
        <v>1</v>
      </c>
      <c r="L3" s="2">
        <v>678.35141999999996</v>
      </c>
    </row>
    <row r="4" spans="11:12" x14ac:dyDescent="0.2">
      <c r="K4" t="s">
        <v>2</v>
      </c>
      <c r="L4" s="2">
        <f>+L2*L3</f>
        <v>199021.52311379998</v>
      </c>
    </row>
    <row r="5" spans="11:12" x14ac:dyDescent="0.2">
      <c r="K5" t="s">
        <v>3</v>
      </c>
      <c r="L5" s="2">
        <f>8490.438+5.062+441.72</f>
        <v>8937.2199999999993</v>
      </c>
    </row>
    <row r="6" spans="11:12" x14ac:dyDescent="0.2">
      <c r="K6" t="s">
        <v>4</v>
      </c>
      <c r="L6" s="2">
        <f>115.179+5042.111</f>
        <v>5157.29</v>
      </c>
    </row>
    <row r="7" spans="11:12" x14ac:dyDescent="0.2">
      <c r="K7" t="s">
        <v>5</v>
      </c>
      <c r="L7" s="2">
        <f>+L4-L5+L6</f>
        <v>195241.59311379999</v>
      </c>
    </row>
    <row r="8" spans="11:12" x14ac:dyDescent="0.2">
      <c r="L8" s="2">
        <v>9747</v>
      </c>
    </row>
    <row r="9" spans="11:12" x14ac:dyDescent="0.2">
      <c r="L9" s="10">
        <f>+L7/L8</f>
        <v>20.030942147717244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BE3F-0B58-4867-9DF6-114E32CA7B6F}">
  <dimension ref="A1:EI88"/>
  <sheetViews>
    <sheetView workbookViewId="0">
      <pane xSplit="2" ySplit="2" topLeftCell="F57" activePane="bottomRight" state="frozen"/>
      <selection pane="topRight" activeCell="C1" sqref="C1"/>
      <selection pane="bottomLeft" activeCell="A3" sqref="A3"/>
      <selection pane="bottomRight" activeCell="AE47" sqref="AE47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8" s="8" customFormat="1" x14ac:dyDescent="0.2">
      <c r="A1" s="7" t="s">
        <v>6</v>
      </c>
      <c r="E1" s="8">
        <v>44895</v>
      </c>
      <c r="F1" s="8">
        <v>44985</v>
      </c>
      <c r="G1" s="8">
        <v>45077</v>
      </c>
      <c r="H1" s="8">
        <v>45169</v>
      </c>
      <c r="I1" s="8">
        <v>45260</v>
      </c>
      <c r="J1" s="8">
        <v>45351</v>
      </c>
      <c r="K1" s="8">
        <v>45443</v>
      </c>
      <c r="L1" s="8">
        <v>45535</v>
      </c>
      <c r="M1" s="8">
        <v>45626</v>
      </c>
      <c r="N1" s="8">
        <v>45716</v>
      </c>
      <c r="Q1" s="8">
        <v>41517</v>
      </c>
      <c r="R1" s="8">
        <v>41882</v>
      </c>
      <c r="S1" s="8">
        <v>42247</v>
      </c>
      <c r="T1" s="8">
        <v>42613</v>
      </c>
      <c r="U1" s="8">
        <v>42978</v>
      </c>
      <c r="V1" s="8">
        <v>43343</v>
      </c>
      <c r="W1" s="8">
        <v>43708</v>
      </c>
      <c r="X1" s="8">
        <v>44074</v>
      </c>
      <c r="Y1" s="8">
        <v>44439</v>
      </c>
      <c r="Z1" s="8">
        <v>44804</v>
      </c>
      <c r="AA1" s="8">
        <v>45169</v>
      </c>
      <c r="AB1" s="8">
        <v>45535</v>
      </c>
    </row>
    <row r="2" spans="1:38" x14ac:dyDescent="0.2">
      <c r="C2" s="4"/>
      <c r="D2" s="4"/>
      <c r="E2" s="4" t="s">
        <v>103</v>
      </c>
      <c r="F2" s="4" t="s">
        <v>102</v>
      </c>
      <c r="G2" s="4" t="s">
        <v>100</v>
      </c>
      <c r="H2" s="4" t="s">
        <v>98</v>
      </c>
      <c r="I2" s="4" t="s">
        <v>96</v>
      </c>
      <c r="J2" s="4" t="s">
        <v>23</v>
      </c>
      <c r="K2" s="4" t="s">
        <v>99</v>
      </c>
      <c r="L2" s="4" t="s">
        <v>97</v>
      </c>
      <c r="M2" s="4" t="s">
        <v>95</v>
      </c>
      <c r="N2" s="4" t="s">
        <v>22</v>
      </c>
      <c r="Q2" s="4" t="s">
        <v>104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4" t="s">
        <v>29</v>
      </c>
      <c r="X2" s="4" t="s">
        <v>30</v>
      </c>
      <c r="Y2" s="4" t="s">
        <v>31</v>
      </c>
      <c r="Z2" s="4" t="s">
        <v>32</v>
      </c>
      <c r="AA2" s="4" t="s">
        <v>33</v>
      </c>
      <c r="AB2" s="4" t="s">
        <v>34</v>
      </c>
      <c r="AC2" s="4" t="s">
        <v>35</v>
      </c>
      <c r="AD2" s="4" t="s">
        <v>36</v>
      </c>
      <c r="AE2" s="4" t="s">
        <v>37</v>
      </c>
      <c r="AF2" s="4" t="s">
        <v>38</v>
      </c>
      <c r="AG2" s="4" t="s">
        <v>39</v>
      </c>
      <c r="AH2" s="4" t="s">
        <v>40</v>
      </c>
      <c r="AI2" s="4" t="s">
        <v>41</v>
      </c>
      <c r="AJ2" s="4" t="s">
        <v>42</v>
      </c>
      <c r="AK2" s="4" t="s">
        <v>43</v>
      </c>
      <c r="AL2" s="4" t="s">
        <v>44</v>
      </c>
    </row>
    <row r="3" spans="1:38" s="2" customFormat="1" x14ac:dyDescent="0.2">
      <c r="B3" s="2" t="s">
        <v>67</v>
      </c>
      <c r="C3" s="9"/>
      <c r="D3" s="9"/>
      <c r="E3" s="9">
        <v>16200</v>
      </c>
      <c r="F3" s="2">
        <v>22100</v>
      </c>
      <c r="G3" s="2">
        <v>17200</v>
      </c>
      <c r="H3" s="2">
        <v>16600</v>
      </c>
      <c r="I3" s="2">
        <v>18400</v>
      </c>
      <c r="J3" s="9">
        <v>21600</v>
      </c>
      <c r="K3" s="9">
        <v>21100</v>
      </c>
      <c r="L3" s="9">
        <v>20100</v>
      </c>
      <c r="M3" s="9">
        <v>18700</v>
      </c>
      <c r="N3" s="9">
        <v>20910</v>
      </c>
      <c r="Q3" s="2">
        <v>33300</v>
      </c>
      <c r="R3" s="9">
        <v>35900</v>
      </c>
      <c r="S3" s="9">
        <v>34400</v>
      </c>
      <c r="T3" s="9">
        <v>35400</v>
      </c>
      <c r="U3" s="9">
        <v>37400</v>
      </c>
      <c r="V3" s="9">
        <v>42800</v>
      </c>
      <c r="W3" s="9">
        <v>45500</v>
      </c>
      <c r="X3" s="9">
        <v>49600</v>
      </c>
      <c r="Y3" s="9">
        <v>59300</v>
      </c>
      <c r="Z3" s="9">
        <v>71700</v>
      </c>
      <c r="AA3" s="9">
        <v>72200</v>
      </c>
      <c r="AB3" s="9">
        <v>81200</v>
      </c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s="13" customFormat="1" x14ac:dyDescent="0.2">
      <c r="C4" s="14"/>
      <c r="D4" s="14"/>
      <c r="E4" s="14"/>
      <c r="I4" s="14">
        <f t="shared" ref="I4:M4" si="0">+I3/E3-1</f>
        <v>0.13580246913580241</v>
      </c>
      <c r="J4" s="14">
        <f t="shared" si="0"/>
        <v>-2.2624434389140302E-2</v>
      </c>
      <c r="K4" s="14">
        <f t="shared" si="0"/>
        <v>0.22674418604651159</v>
      </c>
      <c r="L4" s="14">
        <f t="shared" si="0"/>
        <v>0.21084337349397586</v>
      </c>
      <c r="M4" s="14">
        <f t="shared" si="0"/>
        <v>1.6304347826086918E-2</v>
      </c>
      <c r="N4" s="14">
        <f>+N3/J3-1</f>
        <v>-3.1944444444444442E-2</v>
      </c>
      <c r="Q4" s="14"/>
      <c r="R4" s="14">
        <f t="shared" ref="Q4:AA4" si="1">+R3/Q3-1</f>
        <v>7.8078078078078095E-2</v>
      </c>
      <c r="S4" s="14">
        <f t="shared" si="1"/>
        <v>-4.1782729805013963E-2</v>
      </c>
      <c r="T4" s="14">
        <f t="shared" si="1"/>
        <v>2.9069767441860517E-2</v>
      </c>
      <c r="U4" s="14">
        <f t="shared" si="1"/>
        <v>5.6497175141242861E-2</v>
      </c>
      <c r="V4" s="14">
        <f t="shared" si="1"/>
        <v>0.14438502673796783</v>
      </c>
      <c r="W4" s="14">
        <f t="shared" si="1"/>
        <v>6.308411214953269E-2</v>
      </c>
      <c r="X4" s="14">
        <f t="shared" si="1"/>
        <v>9.0109890109890012E-2</v>
      </c>
      <c r="Y4" s="14">
        <f t="shared" si="1"/>
        <v>0.19556451612903225</v>
      </c>
      <c r="Z4" s="14">
        <f t="shared" si="1"/>
        <v>0.2091062394603711</v>
      </c>
      <c r="AA4" s="14">
        <f t="shared" si="1"/>
        <v>6.9735006973501434E-3</v>
      </c>
      <c r="AB4" s="14">
        <f>+AB3/AA3-1</f>
        <v>0.12465373961218829</v>
      </c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s="2" customFormat="1" x14ac:dyDescent="0.2">
      <c r="C5" s="9"/>
      <c r="D5" s="9"/>
      <c r="E5" s="9"/>
      <c r="J5" s="9"/>
      <c r="K5" s="9"/>
      <c r="L5" s="9"/>
      <c r="M5" s="9"/>
      <c r="N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2" customFormat="1" x14ac:dyDescent="0.2">
      <c r="B6" s="2" t="s">
        <v>70</v>
      </c>
      <c r="C6" s="9"/>
      <c r="D6" s="9"/>
      <c r="E6" s="9">
        <v>7622.82</v>
      </c>
      <c r="F6" s="2">
        <v>7397.8739999999998</v>
      </c>
      <c r="G6" s="2">
        <v>7720.9030000000002</v>
      </c>
      <c r="H6" s="2">
        <v>7553.99</v>
      </c>
      <c r="I6" s="2">
        <v>8026.9719999999998</v>
      </c>
      <c r="J6" s="9">
        <v>7815.5429999999997</v>
      </c>
      <c r="K6" s="9">
        <v>7834.2060000000001</v>
      </c>
      <c r="L6" s="9">
        <v>7966.6909999999998</v>
      </c>
      <c r="M6" s="9">
        <v>8733.0949999999993</v>
      </c>
      <c r="N6" s="9">
        <v>8553.098</v>
      </c>
      <c r="R6" s="9"/>
      <c r="S6" s="9"/>
      <c r="T6" s="9"/>
      <c r="U6" s="9"/>
      <c r="V6" s="9"/>
      <c r="W6" s="9"/>
      <c r="X6" s="9"/>
      <c r="Y6" s="9"/>
      <c r="Z6" s="9"/>
      <c r="AA6" s="12">
        <f t="shared" ref="AA6:AA8" si="2">+SUM(E6:H6)</f>
        <v>30295.587</v>
      </c>
      <c r="AB6" s="12">
        <f t="shared" ref="AB6:AB17" si="3">+SUM(I6:L6)</f>
        <v>31643.411999999997</v>
      </c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2" customFormat="1" x14ac:dyDescent="0.2">
      <c r="B7" s="2" t="s">
        <v>71</v>
      </c>
      <c r="C7" s="9"/>
      <c r="D7" s="9"/>
      <c r="E7" s="9">
        <v>5072.05</v>
      </c>
      <c r="F7" s="2">
        <v>5300.1689999999999</v>
      </c>
      <c r="G7" s="2">
        <v>5872.107</v>
      </c>
      <c r="H7" s="2">
        <v>5552.8959999999997</v>
      </c>
      <c r="I7" s="2">
        <v>5803.6419999999998</v>
      </c>
      <c r="J7" s="9">
        <v>5598.85</v>
      </c>
      <c r="K7" s="9">
        <v>5776.6239999999998</v>
      </c>
      <c r="L7" s="9">
        <v>5638.7629999999999</v>
      </c>
      <c r="M7" s="9">
        <v>6411.9520000000002</v>
      </c>
      <c r="N7" s="9">
        <v>5803.875</v>
      </c>
      <c r="R7" s="9"/>
      <c r="S7" s="9"/>
      <c r="T7" s="9"/>
      <c r="U7" s="9"/>
      <c r="V7" s="9"/>
      <c r="W7" s="9"/>
      <c r="X7" s="9"/>
      <c r="Y7" s="9"/>
      <c r="Z7" s="9"/>
      <c r="AA7" s="12">
        <f t="shared" si="2"/>
        <v>21797.222000000002</v>
      </c>
      <c r="AB7" s="12">
        <f>+SUM(I7:L7)</f>
        <v>22817.879000000001</v>
      </c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s="2" customFormat="1" x14ac:dyDescent="0.2">
      <c r="B8" s="2" t="s">
        <v>72</v>
      </c>
      <c r="C8" s="9"/>
      <c r="D8" s="9"/>
      <c r="E8" s="9">
        <v>3052.9319999999998</v>
      </c>
      <c r="F8" s="2">
        <v>3116.1149999999998</v>
      </c>
      <c r="G8" s="2">
        <v>2971.5749999999998</v>
      </c>
      <c r="H8" s="2">
        <v>2878.3139999999999</v>
      </c>
      <c r="I8" s="2">
        <v>2393.6889999999999</v>
      </c>
      <c r="J8" s="9">
        <v>2385.1210000000001</v>
      </c>
      <c r="K8" s="9">
        <v>2855.998</v>
      </c>
      <c r="L8" s="9">
        <v>2800.3649999999998</v>
      </c>
      <c r="M8" s="9">
        <v>2544.498</v>
      </c>
      <c r="N8" s="9">
        <v>2302.328</v>
      </c>
      <c r="R8" s="9"/>
      <c r="S8" s="9"/>
      <c r="T8" s="9"/>
      <c r="U8" s="9"/>
      <c r="V8" s="9"/>
      <c r="W8" s="9"/>
      <c r="X8" s="9"/>
      <c r="Y8" s="9"/>
      <c r="Z8" s="9"/>
      <c r="AA8" s="12">
        <f t="shared" si="2"/>
        <v>12018.936</v>
      </c>
      <c r="AB8" s="12">
        <f t="shared" si="3"/>
        <v>10435.172999999999</v>
      </c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s="2" customFormat="1" x14ac:dyDescent="0.2">
      <c r="C9" s="9"/>
      <c r="D9" s="9"/>
      <c r="E9" s="9"/>
      <c r="J9" s="9"/>
      <c r="K9" s="9"/>
      <c r="L9" s="9"/>
      <c r="M9" s="9"/>
      <c r="N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s="2" customFormat="1" x14ac:dyDescent="0.2">
      <c r="B10" s="2" t="s">
        <v>73</v>
      </c>
      <c r="C10" s="9"/>
      <c r="D10" s="9"/>
      <c r="E10" s="9">
        <v>2980.203</v>
      </c>
      <c r="F10" s="2">
        <v>2884.8020000000001</v>
      </c>
      <c r="G10" s="2">
        <v>2880.1869999999999</v>
      </c>
      <c r="H10" s="2">
        <v>2707.7220000000002</v>
      </c>
      <c r="I10" s="2">
        <v>2669.4479999999999</v>
      </c>
      <c r="J10" s="9">
        <v>2654.1370000000002</v>
      </c>
      <c r="K10" s="9">
        <v>2763.076</v>
      </c>
      <c r="L10" s="9">
        <v>2750.5129999999999</v>
      </c>
      <c r="M10" s="9">
        <v>2857.8850000000002</v>
      </c>
      <c r="N10" s="9">
        <v>2729.6550000000002</v>
      </c>
      <c r="R10" s="9"/>
      <c r="S10" s="9"/>
      <c r="T10" s="9"/>
      <c r="U10" s="9"/>
      <c r="V10" s="9"/>
      <c r="W10" s="9"/>
      <c r="X10" s="9"/>
      <c r="Y10" s="9"/>
      <c r="Z10" s="9"/>
      <c r="AA10" s="12">
        <f t="shared" ref="AA10:AA14" si="4">+SUM(E10:H10)</f>
        <v>11452.913999999999</v>
      </c>
      <c r="AB10" s="12">
        <f t="shared" si="3"/>
        <v>10837.173999999999</v>
      </c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s="2" customFormat="1" x14ac:dyDescent="0.2">
      <c r="B11" s="2" t="s">
        <v>74</v>
      </c>
      <c r="C11" s="9"/>
      <c r="D11" s="9"/>
      <c r="E11" s="9">
        <v>2963.3960000000002</v>
      </c>
      <c r="F11" s="2">
        <v>3002.8670000000002</v>
      </c>
      <c r="G11" s="2">
        <v>3138.181</v>
      </c>
      <c r="H11" s="2">
        <v>3027.087</v>
      </c>
      <c r="I11" s="2">
        <v>3033.578</v>
      </c>
      <c r="J11" s="9">
        <v>2808.93</v>
      </c>
      <c r="K11" s="9">
        <v>2894.7530000000002</v>
      </c>
      <c r="L11" s="9">
        <v>2872.9639999999999</v>
      </c>
      <c r="M11" s="9">
        <v>3168.835</v>
      </c>
      <c r="N11" s="9">
        <v>3010.43</v>
      </c>
      <c r="R11" s="9"/>
      <c r="S11" s="9"/>
      <c r="T11" s="9"/>
      <c r="U11" s="9"/>
      <c r="V11" s="9"/>
      <c r="W11" s="9"/>
      <c r="X11" s="9"/>
      <c r="Y11" s="9"/>
      <c r="Z11" s="9"/>
      <c r="AA11" s="12">
        <f t="shared" si="4"/>
        <v>12131.531000000001</v>
      </c>
      <c r="AB11" s="12">
        <f t="shared" si="3"/>
        <v>11610.225</v>
      </c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s="2" customFormat="1" x14ac:dyDescent="0.2">
      <c r="B12" s="2" t="s">
        <v>75</v>
      </c>
      <c r="C12" s="9"/>
      <c r="D12" s="9"/>
      <c r="E12" s="9">
        <v>3000.0189999999998</v>
      </c>
      <c r="F12" s="2">
        <v>3023.5949999999998</v>
      </c>
      <c r="G12" s="2">
        <v>3266.3470000000002</v>
      </c>
      <c r="H12" s="2">
        <v>3270.4969999999998</v>
      </c>
      <c r="I12" s="2">
        <v>3377.4659999999999</v>
      </c>
      <c r="J12" s="9">
        <v>3334.0390000000002</v>
      </c>
      <c r="K12" s="9">
        <v>3515.2640000000001</v>
      </c>
      <c r="L12" s="9">
        <v>3613.8649999999998</v>
      </c>
      <c r="M12" s="9">
        <v>3812.6089999999999</v>
      </c>
      <c r="N12" s="9">
        <v>3608.9119999999998</v>
      </c>
      <c r="R12" s="9"/>
      <c r="S12" s="9"/>
      <c r="T12" s="9"/>
      <c r="U12" s="9"/>
      <c r="V12" s="9"/>
      <c r="W12" s="9"/>
      <c r="X12" s="9"/>
      <c r="Y12" s="9"/>
      <c r="Z12" s="9"/>
      <c r="AA12" s="12">
        <f>+SUM(E12:H12)</f>
        <v>12560.457999999999</v>
      </c>
      <c r="AB12" s="12">
        <f t="shared" si="3"/>
        <v>13840.634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2" customFormat="1" x14ac:dyDescent="0.2">
      <c r="B13" s="2" t="s">
        <v>76</v>
      </c>
      <c r="C13" s="9"/>
      <c r="D13" s="9"/>
      <c r="E13" s="9">
        <v>4665.7879999999996</v>
      </c>
      <c r="F13" s="2">
        <v>4718.5720000000001</v>
      </c>
      <c r="G13" s="2">
        <v>4968.3990000000003</v>
      </c>
      <c r="H13" s="2">
        <v>4751.1329999999998</v>
      </c>
      <c r="I13" s="2">
        <v>4859.9870000000001</v>
      </c>
      <c r="J13" s="9">
        <v>4761.8379999999997</v>
      </c>
      <c r="K13" s="9">
        <v>4983.4219999999996</v>
      </c>
      <c r="L13" s="9">
        <v>4948.9070000000002</v>
      </c>
      <c r="M13" s="9">
        <v>5425.317</v>
      </c>
      <c r="N13" s="9">
        <v>5051.8389999999999</v>
      </c>
      <c r="R13" s="9"/>
      <c r="S13" s="9"/>
      <c r="T13" s="9"/>
      <c r="U13" s="9"/>
      <c r="V13" s="9"/>
      <c r="W13" s="9"/>
      <c r="X13" s="9"/>
      <c r="Y13" s="9"/>
      <c r="Z13" s="9"/>
      <c r="AA13" s="12">
        <f t="shared" si="4"/>
        <v>19103.892</v>
      </c>
      <c r="AB13" s="12">
        <f t="shared" si="3"/>
        <v>19554.153999999999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s="2" customFormat="1" x14ac:dyDescent="0.2">
      <c r="B14" s="2" t="s">
        <v>77</v>
      </c>
      <c r="C14" s="9"/>
      <c r="D14" s="9"/>
      <c r="E14" s="9">
        <v>2138.3960000000002</v>
      </c>
      <c r="F14" s="2">
        <v>2184.3220000000001</v>
      </c>
      <c r="G14" s="2">
        <v>2311.471</v>
      </c>
      <c r="H14" s="2">
        <v>2228.761</v>
      </c>
      <c r="I14" s="2">
        <v>2283.8240000000001</v>
      </c>
      <c r="J14" s="9">
        <v>2240.5700000000002</v>
      </c>
      <c r="K14" s="9">
        <v>2310.3130000000001</v>
      </c>
      <c r="L14" s="9">
        <v>2219.5700000000002</v>
      </c>
      <c r="M14" s="9">
        <v>2424.8989999999999</v>
      </c>
      <c r="N14" s="9">
        <v>2258.4650000000001</v>
      </c>
      <c r="R14" s="9"/>
      <c r="S14" s="9"/>
      <c r="T14" s="9"/>
      <c r="U14" s="9"/>
      <c r="V14" s="9"/>
      <c r="W14" s="9"/>
      <c r="X14" s="9"/>
      <c r="Y14" s="9"/>
      <c r="Z14" s="9"/>
      <c r="AA14" s="12">
        <f t="shared" si="4"/>
        <v>8862.9500000000007</v>
      </c>
      <c r="AB14" s="12">
        <f t="shared" si="3"/>
        <v>9054.277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s="2" customFormat="1" x14ac:dyDescent="0.2">
      <c r="C15" s="9"/>
      <c r="D15" s="9"/>
      <c r="E15" s="9"/>
      <c r="J15" s="9"/>
      <c r="K15" s="9"/>
      <c r="L15" s="9"/>
      <c r="M15" s="9"/>
      <c r="N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s="2" customFormat="1" x14ac:dyDescent="0.2">
      <c r="B16" s="2" t="s">
        <v>68</v>
      </c>
      <c r="C16" s="9"/>
      <c r="D16" s="9"/>
      <c r="E16" s="2">
        <v>8444.3670000000002</v>
      </c>
      <c r="F16" s="2">
        <v>8278.7630000000008</v>
      </c>
      <c r="G16" s="2">
        <v>8693.0300000000007</v>
      </c>
      <c r="H16" s="2">
        <v>8196.848</v>
      </c>
      <c r="I16" s="2">
        <v>8456.5059999999994</v>
      </c>
      <c r="J16" s="9">
        <v>8021.0339999999997</v>
      </c>
      <c r="K16" s="9">
        <v>8457.1689999999999</v>
      </c>
      <c r="L16" s="9">
        <v>8260.3950000000004</v>
      </c>
      <c r="M16" s="9">
        <v>9045.2279999999992</v>
      </c>
      <c r="N16" s="9">
        <v>8282.26</v>
      </c>
      <c r="R16" s="9"/>
      <c r="S16" s="9"/>
      <c r="T16" s="9"/>
      <c r="U16" s="9"/>
      <c r="V16" s="9"/>
      <c r="W16" s="9"/>
      <c r="X16" s="9"/>
      <c r="Y16" s="9"/>
      <c r="Z16" s="9"/>
      <c r="AA16" s="12">
        <f t="shared" ref="AA16:AA17" si="5">+SUM(E16:H16)</f>
        <v>33613.008000000002</v>
      </c>
      <c r="AB16" s="12">
        <f t="shared" si="3"/>
        <v>33195.104000000007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2:139" s="2" customFormat="1" x14ac:dyDescent="0.2">
      <c r="B17" s="2" t="s">
        <v>69</v>
      </c>
      <c r="C17" s="9"/>
      <c r="D17" s="9"/>
      <c r="E17" s="2">
        <v>7303.4350000000004</v>
      </c>
      <c r="F17" s="2">
        <v>7535.3950000000004</v>
      </c>
      <c r="G17" s="2">
        <v>7871.5550000000003</v>
      </c>
      <c r="H17" s="2">
        <v>7788.3519999999999</v>
      </c>
      <c r="I17" s="2">
        <v>7767.7969999999996</v>
      </c>
      <c r="J17" s="9">
        <v>7778.48</v>
      </c>
      <c r="K17" s="9">
        <v>8009.6589999999997</v>
      </c>
      <c r="L17" s="9">
        <v>8145.424</v>
      </c>
      <c r="M17" s="9">
        <v>8644.3169999999991</v>
      </c>
      <c r="N17" s="9">
        <v>8377.0409999999993</v>
      </c>
      <c r="R17" s="9"/>
      <c r="S17" s="9"/>
      <c r="T17" s="9"/>
      <c r="U17" s="9"/>
      <c r="V17" s="9"/>
      <c r="W17" s="9"/>
      <c r="X17" s="9"/>
      <c r="Y17" s="9"/>
      <c r="Z17" s="9"/>
      <c r="AA17" s="12">
        <f t="shared" si="5"/>
        <v>30498.737000000001</v>
      </c>
      <c r="AB17" s="12">
        <f t="shared" si="3"/>
        <v>31701.359999999997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2:139" s="5" customFormat="1" x14ac:dyDescent="0.2">
      <c r="B18" s="5" t="s">
        <v>7</v>
      </c>
      <c r="E18" s="5">
        <v>15747.802</v>
      </c>
      <c r="F18" s="5">
        <v>15814.157999999999</v>
      </c>
      <c r="G18" s="5">
        <v>16564.584999999999</v>
      </c>
      <c r="H18" s="5">
        <v>15985.2</v>
      </c>
      <c r="I18" s="5">
        <v>16224.303</v>
      </c>
      <c r="J18" s="5">
        <v>15799.513999999999</v>
      </c>
      <c r="K18" s="5">
        <v>16466.828000000001</v>
      </c>
      <c r="L18" s="5">
        <v>16405.819</v>
      </c>
      <c r="M18" s="5">
        <v>17689.544999999998</v>
      </c>
      <c r="N18" s="5">
        <v>16659.300999999999</v>
      </c>
      <c r="Q18" s="3">
        <f>+(AB18/R18)^(0.1)-1</f>
        <v>7.3686574792330317E-2</v>
      </c>
      <c r="R18" s="11">
        <v>31874.678</v>
      </c>
      <c r="S18" s="11">
        <v>32914.423999999999</v>
      </c>
      <c r="T18" s="11">
        <v>34797.661</v>
      </c>
      <c r="U18" s="11">
        <v>36176.841</v>
      </c>
      <c r="V18" s="11">
        <v>40992.534</v>
      </c>
      <c r="W18" s="11">
        <v>43215.012999999999</v>
      </c>
      <c r="X18" s="11">
        <v>44327.038999999997</v>
      </c>
      <c r="Y18" s="11">
        <v>50533.389000000003</v>
      </c>
      <c r="Z18" s="11">
        <v>61594.305</v>
      </c>
      <c r="AA18" s="11">
        <f>+SUM(E18:H18)</f>
        <v>64111.744999999995</v>
      </c>
      <c r="AB18" s="11">
        <f>+SUM(I18:L18)</f>
        <v>64896.464000000007</v>
      </c>
      <c r="AC18" s="5">
        <f>+AB18*1.07</f>
        <v>69439.216480000017</v>
      </c>
      <c r="AD18" s="5">
        <f t="shared" ref="AD18:AL18" si="6">+AC18*1.07</f>
        <v>74299.961633600018</v>
      </c>
      <c r="AE18" s="5">
        <f t="shared" si="6"/>
        <v>79500.958947952022</v>
      </c>
      <c r="AF18" s="5">
        <f t="shared" si="6"/>
        <v>85066.026074308669</v>
      </c>
      <c r="AG18" s="5">
        <f t="shared" si="6"/>
        <v>91020.647899510281</v>
      </c>
      <c r="AH18" s="5">
        <f t="shared" si="6"/>
        <v>97392.093252475999</v>
      </c>
      <c r="AI18" s="5">
        <f t="shared" si="6"/>
        <v>104209.53978014932</v>
      </c>
      <c r="AJ18" s="5">
        <f t="shared" si="6"/>
        <v>111504.20756475978</v>
      </c>
      <c r="AK18" s="5">
        <f t="shared" si="6"/>
        <v>119309.50209429297</v>
      </c>
      <c r="AL18" s="5">
        <f t="shared" si="6"/>
        <v>127661.16724089348</v>
      </c>
    </row>
    <row r="19" spans="2:139" s="2" customFormat="1" x14ac:dyDescent="0.2">
      <c r="B19" s="2" t="s">
        <v>8</v>
      </c>
      <c r="E19" s="2">
        <v>10561.66</v>
      </c>
      <c r="F19" s="2">
        <v>10979.392</v>
      </c>
      <c r="G19" s="2">
        <v>11035.514999999999</v>
      </c>
      <c r="H19" s="2">
        <v>10803.571</v>
      </c>
      <c r="I19" s="2">
        <v>10776.361999999999</v>
      </c>
      <c r="J19" s="2">
        <v>10921.045</v>
      </c>
      <c r="K19" s="2">
        <v>10968.377</v>
      </c>
      <c r="L19" s="2">
        <v>11068.362999999999</v>
      </c>
      <c r="M19" s="2">
        <v>11866.716</v>
      </c>
      <c r="N19" s="2">
        <v>11684.313</v>
      </c>
      <c r="R19" s="9">
        <v>22190.212</v>
      </c>
      <c r="S19" s="9">
        <v>23105.185000000001</v>
      </c>
      <c r="T19" s="9">
        <v>24520.234</v>
      </c>
      <c r="U19" s="9">
        <v>25105.348999999998</v>
      </c>
      <c r="V19" s="9">
        <v>28499.17</v>
      </c>
      <c r="W19" s="9">
        <v>29900.325000000001</v>
      </c>
      <c r="X19" s="9">
        <v>30350.881000000001</v>
      </c>
      <c r="Y19" s="9">
        <v>34169.260999999999</v>
      </c>
      <c r="Z19" s="9">
        <v>41892.766000000003</v>
      </c>
      <c r="AA19" s="12">
        <f>+SUM(E19:H19)</f>
        <v>43380.137999999999</v>
      </c>
      <c r="AB19" s="12">
        <f t="shared" ref="AB19:AB21" si="7">+SUM(I19:L19)</f>
        <v>43734.146999999997</v>
      </c>
    </row>
    <row r="20" spans="2:139" s="2" customFormat="1" x14ac:dyDescent="0.2">
      <c r="B20" s="2" t="s">
        <v>9</v>
      </c>
      <c r="E20" s="2">
        <v>1550.019</v>
      </c>
      <c r="F20" s="2">
        <v>1563.567</v>
      </c>
      <c r="G20" s="2">
        <v>1738.6210000000001</v>
      </c>
      <c r="H20" s="2">
        <v>1730.422</v>
      </c>
      <c r="I20" s="2">
        <v>1709.8910000000001</v>
      </c>
      <c r="J20" s="2">
        <v>1631.1849999999999</v>
      </c>
      <c r="K20" s="2">
        <v>1750.366</v>
      </c>
      <c r="L20" s="2">
        <v>1755.2719999999999</v>
      </c>
      <c r="M20" s="2">
        <v>1811.1089999999999</v>
      </c>
      <c r="N20" s="2">
        <v>1676.7809999999999</v>
      </c>
      <c r="R20" s="9">
        <v>3582.8330000000001</v>
      </c>
      <c r="S20" s="9">
        <v>3505.0450000000001</v>
      </c>
      <c r="T20" s="9">
        <v>3580.4389999999999</v>
      </c>
      <c r="U20" s="9">
        <v>3752.3130000000001</v>
      </c>
      <c r="V20" s="9">
        <v>4196.201</v>
      </c>
      <c r="W20" s="9">
        <v>4447.4560000000001</v>
      </c>
      <c r="X20" s="9">
        <v>4625.9290000000001</v>
      </c>
      <c r="Y20" s="9">
        <v>5288.2370000000001</v>
      </c>
      <c r="Z20" s="9">
        <v>6108.4009999999998</v>
      </c>
      <c r="AA20" s="12">
        <f t="shared" ref="AA20:AA21" si="8">+SUM(E20:H20)</f>
        <v>6582.6290000000008</v>
      </c>
      <c r="AB20" s="12">
        <f t="shared" si="7"/>
        <v>6846.7139999999999</v>
      </c>
    </row>
    <row r="21" spans="2:139" s="2" customFormat="1" x14ac:dyDescent="0.2">
      <c r="B21" s="2" t="s">
        <v>10</v>
      </c>
      <c r="E21" s="2">
        <v>1043.0229999999999</v>
      </c>
      <c r="F21" s="2">
        <v>1082.2280000000001</v>
      </c>
      <c r="G21" s="2">
        <v>1084.288</v>
      </c>
      <c r="H21" s="2">
        <v>1066.404</v>
      </c>
      <c r="I21" s="2">
        <v>1033.499</v>
      </c>
      <c r="J21" s="2">
        <v>1085.4480000000001</v>
      </c>
      <c r="K21" s="2">
        <v>1039.8</v>
      </c>
      <c r="L21" s="2">
        <v>1122.569</v>
      </c>
      <c r="M21" s="2">
        <v>1063.2429999999999</v>
      </c>
      <c r="N21" s="2">
        <v>1053.4929999999999</v>
      </c>
      <c r="R21" s="9">
        <v>1819.136</v>
      </c>
      <c r="S21" s="9">
        <v>1803.943</v>
      </c>
      <c r="T21" s="9">
        <v>1886.5429999999999</v>
      </c>
      <c r="U21" s="9">
        <v>2127.777</v>
      </c>
      <c r="V21" s="9">
        <v>2398.384</v>
      </c>
      <c r="W21" s="9">
        <v>2562.1579999999999</v>
      </c>
      <c r="X21" s="9">
        <v>2836.585</v>
      </c>
      <c r="Y21" s="9">
        <v>3454.3620000000001</v>
      </c>
      <c r="Z21" s="9">
        <v>4225.9570000000003</v>
      </c>
      <c r="AA21" s="12">
        <f t="shared" si="8"/>
        <v>4275.9430000000002</v>
      </c>
      <c r="AB21" s="12">
        <f t="shared" si="7"/>
        <v>4281.3160000000007</v>
      </c>
    </row>
    <row r="22" spans="2:139" s="2" customFormat="1" x14ac:dyDescent="0.2">
      <c r="B22" s="2" t="s">
        <v>11</v>
      </c>
      <c r="E22" s="2">
        <f>+SUM(E19:E21)</f>
        <v>13154.701999999999</v>
      </c>
      <c r="F22" s="2">
        <f>+SUM(F19:F21)</f>
        <v>13625.186999999998</v>
      </c>
      <c r="G22" s="2">
        <f>+SUM(G19:G21)</f>
        <v>13858.423999999999</v>
      </c>
      <c r="H22" s="2">
        <f>+SUM(H19:H21)</f>
        <v>13600.397000000001</v>
      </c>
      <c r="I22" s="2">
        <f>+SUM(I19:I21)</f>
        <v>13519.751999999999</v>
      </c>
      <c r="J22" s="2">
        <f>+SUM(J19:J21)</f>
        <v>13637.678</v>
      </c>
      <c r="K22" s="2">
        <f>+SUM(K19:K21)</f>
        <v>13758.543</v>
      </c>
      <c r="L22" s="2">
        <f>+SUM(L19:L21)</f>
        <v>13946.203999999998</v>
      </c>
      <c r="M22" s="2">
        <f>+SUM(M19:M21)</f>
        <v>14741.068000000001</v>
      </c>
      <c r="N22" s="2">
        <f>+SUM(N19:N21)</f>
        <v>14414.587000000001</v>
      </c>
      <c r="Q22" s="3"/>
      <c r="R22" s="2">
        <f>+SUM(R19:R21)</f>
        <v>27592.180999999997</v>
      </c>
      <c r="S22" s="2">
        <f>+SUM(S19:S21)</f>
        <v>28414.173000000003</v>
      </c>
      <c r="T22" s="2">
        <f>+SUM(T19:T21)</f>
        <v>29987.216</v>
      </c>
      <c r="U22" s="2">
        <f>+SUM(U19:U21)</f>
        <v>30985.438999999998</v>
      </c>
      <c r="V22" s="2">
        <f>+SUM(V19:V21)</f>
        <v>35093.754999999997</v>
      </c>
      <c r="W22" s="2">
        <f>+SUM(W19:W21)</f>
        <v>36909.939000000006</v>
      </c>
      <c r="X22" s="2">
        <f>+SUM(X19:X21)</f>
        <v>37813.394999999997</v>
      </c>
      <c r="Y22" s="2">
        <f>+SUM(Y19:Y21)</f>
        <v>42911.86</v>
      </c>
      <c r="Z22" s="2">
        <f>+SUM(Z19:Z21)</f>
        <v>52227.124000000003</v>
      </c>
      <c r="AA22" s="2">
        <f>+SUM(AA19:AA21)</f>
        <v>54238.71</v>
      </c>
      <c r="AB22" s="2">
        <f>+SUM(AB19:AB21)</f>
        <v>54862.176999999996</v>
      </c>
      <c r="AC22" s="2">
        <f>+AB22*1.0675</f>
        <v>58565.373947499989</v>
      </c>
      <c r="AD22" s="2">
        <f t="shared" ref="AD22:AL22" si="9">+AC22*1.0675</f>
        <v>62518.536688956236</v>
      </c>
      <c r="AE22" s="2">
        <f t="shared" si="9"/>
        <v>66738.53791546078</v>
      </c>
      <c r="AF22" s="2">
        <f t="shared" si="9"/>
        <v>71243.38922475437</v>
      </c>
      <c r="AG22" s="2">
        <f t="shared" si="9"/>
        <v>76052.317997425285</v>
      </c>
      <c r="AH22" s="2">
        <f t="shared" si="9"/>
        <v>81185.849462251485</v>
      </c>
      <c r="AI22" s="2">
        <f t="shared" si="9"/>
        <v>86665.894300953456</v>
      </c>
      <c r="AJ22" s="2">
        <f t="shared" si="9"/>
        <v>92515.842166267801</v>
      </c>
      <c r="AK22" s="2">
        <f t="shared" si="9"/>
        <v>98760.661512490871</v>
      </c>
      <c r="AL22" s="2">
        <f t="shared" si="9"/>
        <v>105427.00616458399</v>
      </c>
    </row>
    <row r="23" spans="2:139" s="5" customFormat="1" x14ac:dyDescent="0.2">
      <c r="B23" s="5" t="s">
        <v>12</v>
      </c>
      <c r="E23" s="5">
        <f>+E18-E22</f>
        <v>2593.1000000000004</v>
      </c>
      <c r="F23" s="5">
        <f>+F18-F22</f>
        <v>2188.9710000000014</v>
      </c>
      <c r="G23" s="5">
        <f>+G18-G22</f>
        <v>2706.1610000000001</v>
      </c>
      <c r="H23" s="5">
        <f>+H18-H22</f>
        <v>2384.8029999999999</v>
      </c>
      <c r="I23" s="5">
        <f>+I18-I22</f>
        <v>2704.5510000000013</v>
      </c>
      <c r="J23" s="5">
        <f>+J18-J22</f>
        <v>2161.8359999999993</v>
      </c>
      <c r="K23" s="5">
        <f>+K18-K22</f>
        <v>2708.2850000000017</v>
      </c>
      <c r="L23" s="5">
        <f>+L18-L22</f>
        <v>2459.6150000000016</v>
      </c>
      <c r="M23" s="5">
        <f>+M18-M22</f>
        <v>2948.4769999999971</v>
      </c>
      <c r="N23" s="5">
        <f>+N18-N22</f>
        <v>2244.7139999999981</v>
      </c>
      <c r="R23" s="5">
        <f>+R18-R22</f>
        <v>4282.497000000003</v>
      </c>
      <c r="S23" s="5">
        <f>+S18-S22</f>
        <v>4500.2509999999966</v>
      </c>
      <c r="T23" s="5">
        <f>+T18-T22</f>
        <v>4810.4449999999997</v>
      </c>
      <c r="U23" s="5">
        <f>+U18-U22</f>
        <v>5191.4020000000019</v>
      </c>
      <c r="V23" s="5">
        <f>+V18-V22</f>
        <v>5898.7790000000023</v>
      </c>
      <c r="W23" s="5">
        <f>+W18-W22</f>
        <v>6305.0739999999932</v>
      </c>
      <c r="X23" s="5">
        <f>+X18-X22</f>
        <v>6513.6440000000002</v>
      </c>
      <c r="Y23" s="5">
        <f>+Y18-Y22</f>
        <v>7621.5290000000023</v>
      </c>
      <c r="Z23" s="5">
        <f>+Z18-Z22</f>
        <v>9367.1809999999969</v>
      </c>
      <c r="AA23" s="5">
        <f>+AA18-AA22</f>
        <v>9873.0349999999962</v>
      </c>
      <c r="AB23" s="5">
        <f>+AB18-AB22</f>
        <v>10034.287000000011</v>
      </c>
      <c r="AC23" s="5">
        <f>+AC18-AC22</f>
        <v>10873.842532500028</v>
      </c>
      <c r="AD23" s="5">
        <f t="shared" ref="AD23:AL23" si="10">+AD18-AD22</f>
        <v>11781.424944643783</v>
      </c>
      <c r="AE23" s="5">
        <f t="shared" si="10"/>
        <v>12762.421032491242</v>
      </c>
      <c r="AF23" s="5">
        <f t="shared" si="10"/>
        <v>13822.636849554299</v>
      </c>
      <c r="AG23" s="5">
        <f t="shared" si="10"/>
        <v>14968.329902084995</v>
      </c>
      <c r="AH23" s="5">
        <f t="shared" si="10"/>
        <v>16206.243790224515</v>
      </c>
      <c r="AI23" s="5">
        <f t="shared" si="10"/>
        <v>17543.645479195868</v>
      </c>
      <c r="AJ23" s="5">
        <f t="shared" si="10"/>
        <v>18988.36539849198</v>
      </c>
      <c r="AK23" s="5">
        <f t="shared" si="10"/>
        <v>20548.840581802098</v>
      </c>
      <c r="AL23" s="5">
        <f t="shared" si="10"/>
        <v>22234.161076309494</v>
      </c>
    </row>
    <row r="24" spans="2:139" s="2" customFormat="1" x14ac:dyDescent="0.2">
      <c r="B24" s="2" t="s">
        <v>13</v>
      </c>
      <c r="E24" s="2">
        <f>44.705-7.28</f>
        <v>37.424999999999997</v>
      </c>
      <c r="F24" s="2">
        <f>50.259-11.634</f>
        <v>38.625</v>
      </c>
      <c r="G24" s="2">
        <f>81.818-11.208</f>
        <v>70.61</v>
      </c>
      <c r="H24" s="2">
        <f>103.627-17.403</f>
        <v>86.22399999999999</v>
      </c>
      <c r="I24" s="2">
        <f>101.98-14.495</f>
        <v>87.484999999999999</v>
      </c>
      <c r="J24" s="2">
        <f>65.269-10.305</f>
        <v>54.964000000000006</v>
      </c>
      <c r="K24" s="2">
        <f>53.69-11.334</f>
        <v>42.355999999999995</v>
      </c>
      <c r="L24" s="2">
        <f>51.317-22.835</f>
        <v>28.481999999999999</v>
      </c>
      <c r="M24" s="2">
        <f>76.027-30.042</f>
        <v>45.984999999999999</v>
      </c>
      <c r="N24" s="2">
        <f>76.113-64.669</f>
        <v>11.444000000000003</v>
      </c>
      <c r="R24" s="9">
        <f>30.37-17.621</f>
        <v>12.749000000000002</v>
      </c>
      <c r="S24" s="9">
        <f>33.991-14.578</f>
        <v>19.413</v>
      </c>
      <c r="T24" s="9">
        <f>30.484-16.258</f>
        <v>14.226000000000003</v>
      </c>
      <c r="U24" s="9">
        <f>37.94-15.545</f>
        <v>22.394999999999996</v>
      </c>
      <c r="V24" s="9">
        <f>56.337-19.539</f>
        <v>36.798000000000002</v>
      </c>
      <c r="W24" s="9">
        <f>87.508-22.963</f>
        <v>64.544999999999987</v>
      </c>
      <c r="X24" s="9">
        <f>69.331-33.071</f>
        <v>36.260000000000005</v>
      </c>
      <c r="Y24" s="9">
        <f>33.365-59.492</f>
        <v>-26.126999999999995</v>
      </c>
      <c r="Z24" s="9">
        <f>45.133-47.32</f>
        <v>-2.1869999999999976</v>
      </c>
      <c r="AA24" s="12">
        <f t="shared" ref="AA24" si="11">+SUM(E24:H24)</f>
        <v>232.88399999999999</v>
      </c>
      <c r="AB24" s="12">
        <f t="shared" ref="AB24" si="12">+SUM(I24:L24)</f>
        <v>213.28700000000001</v>
      </c>
      <c r="AC24" s="2">
        <f>+AB37*0.05</f>
        <v>215.9836</v>
      </c>
      <c r="AD24" s="2">
        <f t="shared" ref="AD24:AL24" si="13">+AC37*0.05</f>
        <v>637.39699303500117</v>
      </c>
      <c r="AE24" s="2">
        <f t="shared" si="13"/>
        <v>1109.3122266667949</v>
      </c>
      <c r="AF24" s="2">
        <f t="shared" si="13"/>
        <v>1636.4380905148005</v>
      </c>
      <c r="AG24" s="2">
        <f t="shared" si="13"/>
        <v>2223.8829382374265</v>
      </c>
      <c r="AH24" s="2">
        <f t="shared" si="13"/>
        <v>2877.1870261696786</v>
      </c>
      <c r="AI24" s="2">
        <f t="shared" si="13"/>
        <v>3602.357397192658</v>
      </c>
      <c r="AJ24" s="2">
        <f t="shared" si="13"/>
        <v>4405.9055064954218</v>
      </c>
      <c r="AK24" s="2">
        <f t="shared" si="13"/>
        <v>5294.8878008849424</v>
      </c>
      <c r="AL24" s="2">
        <f t="shared" si="13"/>
        <v>6276.9494794270504</v>
      </c>
    </row>
    <row r="25" spans="2:139" s="2" customFormat="1" x14ac:dyDescent="0.2">
      <c r="B25" s="2" t="s">
        <v>14</v>
      </c>
      <c r="E25" s="2">
        <f>+E23+E24</f>
        <v>2630.5250000000005</v>
      </c>
      <c r="F25" s="2">
        <f>+F23+F24</f>
        <v>2227.5960000000014</v>
      </c>
      <c r="G25" s="2">
        <f>+G23+G24</f>
        <v>2776.7710000000002</v>
      </c>
      <c r="H25" s="2">
        <f>+H23+H24</f>
        <v>2471.027</v>
      </c>
      <c r="I25" s="2">
        <f>+I23+I24</f>
        <v>2792.0360000000014</v>
      </c>
      <c r="J25" s="2">
        <f>+J23+J24</f>
        <v>2216.7999999999993</v>
      </c>
      <c r="K25" s="2">
        <f>+K23+K24</f>
        <v>2750.6410000000014</v>
      </c>
      <c r="L25" s="2">
        <f>+L23+L24</f>
        <v>2488.0970000000016</v>
      </c>
      <c r="M25" s="2">
        <f>+M23+M24</f>
        <v>2994.4619999999973</v>
      </c>
      <c r="N25" s="2">
        <f>+N23+N24</f>
        <v>2256.1579999999981</v>
      </c>
      <c r="R25" s="2">
        <f>+R23+R24</f>
        <v>4295.2460000000028</v>
      </c>
      <c r="S25" s="2">
        <f>+S23+S24</f>
        <v>4519.6639999999961</v>
      </c>
      <c r="T25" s="2">
        <f>+T23+T24</f>
        <v>4824.6709999999994</v>
      </c>
      <c r="U25" s="2">
        <f>+U23+U24</f>
        <v>5213.7970000000023</v>
      </c>
      <c r="V25" s="2">
        <f>+V23+V24</f>
        <v>5935.577000000002</v>
      </c>
      <c r="W25" s="2">
        <f>+W23+W24</f>
        <v>6369.6189999999933</v>
      </c>
      <c r="X25" s="2">
        <f>+X23+X24</f>
        <v>6549.9040000000005</v>
      </c>
      <c r="Y25" s="2">
        <f>+Y23+Y24</f>
        <v>7595.4020000000019</v>
      </c>
      <c r="Z25" s="2">
        <f>+Z23+Z24</f>
        <v>9364.993999999997</v>
      </c>
      <c r="AA25" s="2">
        <f>+AA23+AA24</f>
        <v>10105.918999999996</v>
      </c>
      <c r="AB25" s="2">
        <f>+AB23+AB24</f>
        <v>10247.574000000011</v>
      </c>
      <c r="AC25" s="2">
        <f t="shared" ref="AC25:AL25" si="14">+AC23+AC24</f>
        <v>11089.826132500028</v>
      </c>
      <c r="AD25" s="2">
        <f t="shared" si="14"/>
        <v>12418.821937678784</v>
      </c>
      <c r="AE25" s="2">
        <f t="shared" si="14"/>
        <v>13871.733259158036</v>
      </c>
      <c r="AF25" s="2">
        <f t="shared" si="14"/>
        <v>15459.0749400691</v>
      </c>
      <c r="AG25" s="2">
        <f t="shared" si="14"/>
        <v>17192.212840322423</v>
      </c>
      <c r="AH25" s="2">
        <f t="shared" si="14"/>
        <v>19083.430816394193</v>
      </c>
      <c r="AI25" s="2">
        <f t="shared" si="14"/>
        <v>21146.002876388528</v>
      </c>
      <c r="AJ25" s="2">
        <f t="shared" si="14"/>
        <v>23394.270904987403</v>
      </c>
      <c r="AK25" s="2">
        <f t="shared" si="14"/>
        <v>25843.728382687041</v>
      </c>
      <c r="AL25" s="2">
        <f t="shared" si="14"/>
        <v>28511.110555736544</v>
      </c>
    </row>
    <row r="26" spans="2:139" s="2" customFormat="1" x14ac:dyDescent="0.2">
      <c r="B26" s="2" t="s">
        <v>15</v>
      </c>
      <c r="E26" s="2">
        <v>605.31799999999998</v>
      </c>
      <c r="F26" s="2">
        <v>396.22300000000001</v>
      </c>
      <c r="G26" s="2">
        <v>583.346</v>
      </c>
      <c r="H26" s="2">
        <v>550.91499999999996</v>
      </c>
      <c r="I26" s="2">
        <v>606.67200000000003</v>
      </c>
      <c r="J26" s="2">
        <v>386.53699999999998</v>
      </c>
      <c r="K26" s="2">
        <v>673.02200000000005</v>
      </c>
      <c r="L26" s="2">
        <v>613.89499999999998</v>
      </c>
      <c r="M26" s="2">
        <v>639.05499999999995</v>
      </c>
      <c r="N26" s="2">
        <v>466.33300000000003</v>
      </c>
      <c r="R26" s="9">
        <v>1121.7429999999999</v>
      </c>
      <c r="S26" s="9">
        <v>1136.741</v>
      </c>
      <c r="T26" s="9">
        <v>1253.9690000000001</v>
      </c>
      <c r="U26" s="9">
        <v>981.1</v>
      </c>
      <c r="V26" s="9">
        <v>1593.499</v>
      </c>
      <c r="W26" s="9">
        <v>1405.556</v>
      </c>
      <c r="X26" s="9">
        <v>1589.018</v>
      </c>
      <c r="Y26" s="9">
        <v>1770.5709999999999</v>
      </c>
      <c r="Z26" s="9">
        <v>2207.2069999999999</v>
      </c>
      <c r="AA26" s="12">
        <f t="shared" ref="AA26" si="15">+SUM(E26:H26)</f>
        <v>2135.8019999999997</v>
      </c>
      <c r="AB26" s="12">
        <f t="shared" ref="AB26" si="16">+SUM(I26:L26)</f>
        <v>2280.1260000000002</v>
      </c>
      <c r="AC26" s="2">
        <f>+AC25*0.24</f>
        <v>2661.5582718000064</v>
      </c>
      <c r="AD26" s="2">
        <f t="shared" ref="AD26:AL26" si="17">+AD25*0.24</f>
        <v>2980.5172650429081</v>
      </c>
      <c r="AE26" s="2">
        <f t="shared" si="17"/>
        <v>3329.2159821979285</v>
      </c>
      <c r="AF26" s="2">
        <f t="shared" si="17"/>
        <v>3710.177985616584</v>
      </c>
      <c r="AG26" s="2">
        <f t="shared" si="17"/>
        <v>4126.1310816773812</v>
      </c>
      <c r="AH26" s="2">
        <f t="shared" si="17"/>
        <v>4580.023395934606</v>
      </c>
      <c r="AI26" s="2">
        <f t="shared" si="17"/>
        <v>5075.0406903332469</v>
      </c>
      <c r="AJ26" s="2">
        <f t="shared" si="17"/>
        <v>5614.6250171969768</v>
      </c>
      <c r="AK26" s="2">
        <f t="shared" si="17"/>
        <v>6202.4948118448892</v>
      </c>
      <c r="AL26" s="2">
        <f t="shared" si="17"/>
        <v>6842.6665333767705</v>
      </c>
    </row>
    <row r="27" spans="2:139" s="5" customFormat="1" x14ac:dyDescent="0.2">
      <c r="B27" s="5" t="s">
        <v>16</v>
      </c>
      <c r="E27" s="5">
        <f>+E25-E26</f>
        <v>2025.2070000000006</v>
      </c>
      <c r="F27" s="5">
        <f>+F25-F26</f>
        <v>1831.3730000000014</v>
      </c>
      <c r="G27" s="5">
        <f>+G25-G26</f>
        <v>2193.4250000000002</v>
      </c>
      <c r="H27" s="5">
        <f>+H25-H26</f>
        <v>1920.1120000000001</v>
      </c>
      <c r="I27" s="5">
        <f>+I25-I26</f>
        <v>2185.3640000000014</v>
      </c>
      <c r="J27" s="5">
        <f>+J25-J26</f>
        <v>1830.2629999999992</v>
      </c>
      <c r="K27" s="5">
        <f>+K25-K26</f>
        <v>2077.6190000000015</v>
      </c>
      <c r="L27" s="5">
        <f>+L25-L26</f>
        <v>1874.2020000000016</v>
      </c>
      <c r="M27" s="5">
        <f>+M25-M26</f>
        <v>2355.4069999999974</v>
      </c>
      <c r="N27" s="5">
        <f>+N25-N26</f>
        <v>1789.824999999998</v>
      </c>
      <c r="R27" s="5">
        <f>+R25-R26</f>
        <v>3173.5030000000029</v>
      </c>
      <c r="S27" s="5">
        <f>+S25-S26</f>
        <v>3382.9229999999961</v>
      </c>
      <c r="T27" s="5">
        <f>+T25-T26</f>
        <v>3570.7019999999993</v>
      </c>
      <c r="U27" s="5">
        <f>+U25-U26</f>
        <v>4232.6970000000019</v>
      </c>
      <c r="V27" s="5">
        <f>+V25-V26</f>
        <v>4342.0780000000022</v>
      </c>
      <c r="W27" s="5">
        <f>+W25-W26</f>
        <v>4964.0629999999928</v>
      </c>
      <c r="X27" s="5">
        <f>+X25-X26</f>
        <v>4960.8860000000004</v>
      </c>
      <c r="Y27" s="5">
        <f>+Y25-Y26</f>
        <v>5824.8310000000019</v>
      </c>
      <c r="Z27" s="5">
        <f>+Z25-Z26</f>
        <v>7157.7869999999966</v>
      </c>
      <c r="AA27" s="5">
        <f>+AA25-AA26</f>
        <v>7970.1169999999966</v>
      </c>
      <c r="AB27" s="5">
        <f>+AB25-AB26</f>
        <v>7967.4480000000112</v>
      </c>
      <c r="AC27" s="5">
        <f t="shared" ref="AC27:AL27" si="18">+AC25-AC26</f>
        <v>8428.2678607000216</v>
      </c>
      <c r="AD27" s="5">
        <f t="shared" si="18"/>
        <v>9438.3046726358752</v>
      </c>
      <c r="AE27" s="5">
        <f t="shared" si="18"/>
        <v>10542.517276960109</v>
      </c>
      <c r="AF27" s="5">
        <f t="shared" si="18"/>
        <v>11748.896954452517</v>
      </c>
      <c r="AG27" s="5">
        <f t="shared" si="18"/>
        <v>13066.081758645043</v>
      </c>
      <c r="AH27" s="5">
        <f t="shared" si="18"/>
        <v>14503.407420459587</v>
      </c>
      <c r="AI27" s="5">
        <f t="shared" si="18"/>
        <v>16070.96218605528</v>
      </c>
      <c r="AJ27" s="5">
        <f t="shared" si="18"/>
        <v>17779.645887790426</v>
      </c>
      <c r="AK27" s="5">
        <f t="shared" si="18"/>
        <v>19641.233570842152</v>
      </c>
      <c r="AL27" s="5">
        <f t="shared" si="18"/>
        <v>21668.444022359774</v>
      </c>
      <c r="AM27" s="5">
        <f>+AL27*(1+$AO$31)</f>
        <v>21451.759582136176</v>
      </c>
      <c r="AN27" s="5">
        <f t="shared" ref="AN27:CY27" si="19">+AM27*(1+$AO$31)</f>
        <v>21237.241986314813</v>
      </c>
      <c r="AO27" s="5">
        <f t="shared" si="19"/>
        <v>21024.869566451664</v>
      </c>
      <c r="AP27" s="5">
        <f t="shared" si="19"/>
        <v>20814.620870787148</v>
      </c>
      <c r="AQ27" s="5">
        <f t="shared" si="19"/>
        <v>20606.474662079276</v>
      </c>
      <c r="AR27" s="5">
        <f t="shared" si="19"/>
        <v>20400.409915458484</v>
      </c>
      <c r="AS27" s="5">
        <f t="shared" si="19"/>
        <v>20196.405816303897</v>
      </c>
      <c r="AT27" s="5">
        <f t="shared" si="19"/>
        <v>19994.44175814086</v>
      </c>
      <c r="AU27" s="5">
        <f t="shared" si="19"/>
        <v>19794.49734055945</v>
      </c>
      <c r="AV27" s="5">
        <f t="shared" si="19"/>
        <v>19596.552367153854</v>
      </c>
      <c r="AW27" s="5">
        <f t="shared" si="19"/>
        <v>19400.586843482317</v>
      </c>
      <c r="AX27" s="5">
        <f t="shared" si="19"/>
        <v>19206.580975047495</v>
      </c>
      <c r="AY27" s="5">
        <f t="shared" si="19"/>
        <v>19014.51516529702</v>
      </c>
      <c r="AZ27" s="5">
        <f t="shared" si="19"/>
        <v>18824.370013644049</v>
      </c>
      <c r="BA27" s="5">
        <f t="shared" si="19"/>
        <v>18636.126313507608</v>
      </c>
      <c r="BB27" s="5">
        <f t="shared" si="19"/>
        <v>18449.765050372531</v>
      </c>
      <c r="BC27" s="5">
        <f t="shared" si="19"/>
        <v>18265.267399868804</v>
      </c>
      <c r="BD27" s="5">
        <f t="shared" si="19"/>
        <v>18082.614725870117</v>
      </c>
      <c r="BE27" s="5">
        <f t="shared" si="19"/>
        <v>17901.788578611417</v>
      </c>
      <c r="BF27" s="5">
        <f t="shared" si="19"/>
        <v>17722.770692825303</v>
      </c>
      <c r="BG27" s="5">
        <f t="shared" si="19"/>
        <v>17545.542985897049</v>
      </c>
      <c r="BH27" s="5">
        <f t="shared" si="19"/>
        <v>17370.087556038077</v>
      </c>
      <c r="BI27" s="5">
        <f t="shared" si="19"/>
        <v>17196.386680477695</v>
      </c>
      <c r="BJ27" s="5">
        <f t="shared" si="19"/>
        <v>17024.422813672918</v>
      </c>
      <c r="BK27" s="5">
        <f t="shared" si="19"/>
        <v>16854.178585536189</v>
      </c>
      <c r="BL27" s="5">
        <f t="shared" si="19"/>
        <v>16685.636799680826</v>
      </c>
      <c r="BM27" s="5">
        <f t="shared" si="19"/>
        <v>16518.780431684016</v>
      </c>
      <c r="BN27" s="5">
        <f t="shared" si="19"/>
        <v>16353.592627367176</v>
      </c>
      <c r="BO27" s="5">
        <f t="shared" si="19"/>
        <v>16190.056701093505</v>
      </c>
      <c r="BP27" s="5">
        <f t="shared" si="19"/>
        <v>16028.15613408257</v>
      </c>
      <c r="BQ27" s="5">
        <f t="shared" si="19"/>
        <v>15867.874572741744</v>
      </c>
      <c r="BR27" s="5">
        <f t="shared" si="19"/>
        <v>15709.195827014328</v>
      </c>
      <c r="BS27" s="5">
        <f t="shared" si="19"/>
        <v>15552.103868744185</v>
      </c>
      <c r="BT27" s="5">
        <f t="shared" si="19"/>
        <v>15396.582830056743</v>
      </c>
      <c r="BU27" s="5">
        <f t="shared" si="19"/>
        <v>15242.617001756174</v>
      </c>
      <c r="BV27" s="5">
        <f t="shared" si="19"/>
        <v>15090.190831738613</v>
      </c>
      <c r="BW27" s="5">
        <f t="shared" si="19"/>
        <v>14939.288923421227</v>
      </c>
      <c r="BX27" s="5">
        <f t="shared" si="19"/>
        <v>14789.896034187015</v>
      </c>
      <c r="BY27" s="5">
        <f t="shared" si="19"/>
        <v>14641.997073845145</v>
      </c>
      <c r="BZ27" s="5">
        <f t="shared" si="19"/>
        <v>14495.577103106692</v>
      </c>
      <c r="CA27" s="5">
        <f t="shared" si="19"/>
        <v>14350.621332075625</v>
      </c>
      <c r="CB27" s="5">
        <f t="shared" si="19"/>
        <v>14207.115118754869</v>
      </c>
      <c r="CC27" s="5">
        <f t="shared" si="19"/>
        <v>14065.043967567321</v>
      </c>
      <c r="CD27" s="5">
        <f t="shared" si="19"/>
        <v>13924.393527891647</v>
      </c>
      <c r="CE27" s="5">
        <f t="shared" si="19"/>
        <v>13785.14959261273</v>
      </c>
      <c r="CF27" s="5">
        <f t="shared" si="19"/>
        <v>13647.298096686603</v>
      </c>
      <c r="CG27" s="5">
        <f t="shared" si="19"/>
        <v>13510.825115719737</v>
      </c>
      <c r="CH27" s="5">
        <f t="shared" si="19"/>
        <v>13375.716864562541</v>
      </c>
      <c r="CI27" s="5">
        <f t="shared" si="19"/>
        <v>13241.959695916916</v>
      </c>
      <c r="CJ27" s="5">
        <f t="shared" si="19"/>
        <v>13109.540098957747</v>
      </c>
      <c r="CK27" s="5">
        <f t="shared" si="19"/>
        <v>12978.444697968169</v>
      </c>
      <c r="CL27" s="5">
        <f t="shared" si="19"/>
        <v>12848.660250988487</v>
      </c>
      <c r="CM27" s="5">
        <f t="shared" si="19"/>
        <v>12720.173648478602</v>
      </c>
      <c r="CN27" s="5">
        <f t="shared" si="19"/>
        <v>12592.971911993815</v>
      </c>
      <c r="CO27" s="5">
        <f t="shared" si="19"/>
        <v>12467.042192873876</v>
      </c>
      <c r="CP27" s="5">
        <f t="shared" si="19"/>
        <v>12342.371770945138</v>
      </c>
      <c r="CQ27" s="5">
        <f t="shared" si="19"/>
        <v>12218.948053235687</v>
      </c>
      <c r="CR27" s="5">
        <f t="shared" si="19"/>
        <v>12096.758572703329</v>
      </c>
      <c r="CS27" s="5">
        <f t="shared" si="19"/>
        <v>11975.790986976295</v>
      </c>
      <c r="CT27" s="5">
        <f t="shared" si="19"/>
        <v>11856.033077106533</v>
      </c>
      <c r="CU27" s="5">
        <f t="shared" si="19"/>
        <v>11737.472746335467</v>
      </c>
      <c r="CV27" s="5">
        <f t="shared" si="19"/>
        <v>11620.098018872111</v>
      </c>
      <c r="CW27" s="5">
        <f t="shared" si="19"/>
        <v>11503.89703868339</v>
      </c>
      <c r="CX27" s="5">
        <f t="shared" si="19"/>
        <v>11388.858068296557</v>
      </c>
      <c r="CY27" s="5">
        <f t="shared" si="19"/>
        <v>11274.969487613591</v>
      </c>
      <c r="CZ27" s="5">
        <f t="shared" ref="CZ27:EI27" si="20">+CY27*(1+$AO$31)</f>
        <v>11162.219792737455</v>
      </c>
      <c r="DA27" s="5">
        <f t="shared" si="20"/>
        <v>11050.59759481008</v>
      </c>
      <c r="DB27" s="5">
        <f t="shared" si="20"/>
        <v>10940.091618861979</v>
      </c>
      <c r="DC27" s="5">
        <f t="shared" si="20"/>
        <v>10830.690702673359</v>
      </c>
      <c r="DD27" s="5">
        <f t="shared" si="20"/>
        <v>10722.383795646625</v>
      </c>
      <c r="DE27" s="5">
        <f t="shared" si="20"/>
        <v>10615.159957690159</v>
      </c>
      <c r="DF27" s="5">
        <f t="shared" si="20"/>
        <v>10509.008358113257</v>
      </c>
      <c r="DG27" s="5">
        <f t="shared" si="20"/>
        <v>10403.918274532123</v>
      </c>
      <c r="DH27" s="5">
        <f t="shared" si="20"/>
        <v>10299.879091786803</v>
      </c>
      <c r="DI27" s="5">
        <f t="shared" si="20"/>
        <v>10196.880300868934</v>
      </c>
      <c r="DJ27" s="5">
        <f t="shared" si="20"/>
        <v>10094.911497860245</v>
      </c>
      <c r="DK27" s="5">
        <f t="shared" si="20"/>
        <v>9993.962382881642</v>
      </c>
      <c r="DL27" s="5">
        <f t="shared" si="20"/>
        <v>9894.0227590528248</v>
      </c>
      <c r="DM27" s="5">
        <f t="shared" si="20"/>
        <v>9795.0825314622962</v>
      </c>
      <c r="DN27" s="5">
        <f t="shared" si="20"/>
        <v>9697.131706147673</v>
      </c>
      <c r="DO27" s="5">
        <f t="shared" si="20"/>
        <v>9600.160389086197</v>
      </c>
      <c r="DP27" s="5">
        <f t="shared" si="20"/>
        <v>9504.1587851953354</v>
      </c>
      <c r="DQ27" s="5">
        <f t="shared" si="20"/>
        <v>9409.1171973433811</v>
      </c>
      <c r="DR27" s="5">
        <f t="shared" si="20"/>
        <v>9315.0260253699471</v>
      </c>
      <c r="DS27" s="5">
        <f t="shared" si="20"/>
        <v>9221.8757651162468</v>
      </c>
      <c r="DT27" s="5">
        <f t="shared" si="20"/>
        <v>9129.6570074650845</v>
      </c>
      <c r="DU27" s="5">
        <f t="shared" si="20"/>
        <v>9038.3604373904327</v>
      </c>
      <c r="DV27" s="5">
        <f t="shared" si="20"/>
        <v>8947.976833016528</v>
      </c>
      <c r="DW27" s="5">
        <f t="shared" si="20"/>
        <v>8858.4970646863621</v>
      </c>
      <c r="DX27" s="5">
        <f t="shared" si="20"/>
        <v>8769.9120940394987</v>
      </c>
      <c r="DY27" s="5">
        <f t="shared" si="20"/>
        <v>8682.2129730991037</v>
      </c>
      <c r="DZ27" s="5">
        <f t="shared" si="20"/>
        <v>8595.3908433681117</v>
      </c>
      <c r="EA27" s="5">
        <f t="shared" si="20"/>
        <v>8509.4369349344306</v>
      </c>
      <c r="EB27" s="5">
        <f t="shared" si="20"/>
        <v>8424.342565585086</v>
      </c>
      <c r="EC27" s="5">
        <f t="shared" si="20"/>
        <v>8340.0991399292343</v>
      </c>
      <c r="ED27" s="5">
        <f t="shared" si="20"/>
        <v>8256.698148529942</v>
      </c>
      <c r="EE27" s="5">
        <f t="shared" si="20"/>
        <v>8174.1311670446421</v>
      </c>
      <c r="EF27" s="5">
        <f t="shared" si="20"/>
        <v>8092.3898553741956</v>
      </c>
      <c r="EG27" s="5">
        <f t="shared" si="20"/>
        <v>8011.4659568204534</v>
      </c>
      <c r="EH27" s="5">
        <f t="shared" si="20"/>
        <v>7931.3512972522485</v>
      </c>
      <c r="EI27" s="5">
        <f t="shared" si="20"/>
        <v>7852.0377842797261</v>
      </c>
    </row>
    <row r="28" spans="2:139" s="1" customFormat="1" x14ac:dyDescent="0.2">
      <c r="B28" s="1" t="s">
        <v>17</v>
      </c>
      <c r="E28" s="1">
        <f>+E27/E29</f>
        <v>3.170494980984619</v>
      </c>
      <c r="F28" s="1">
        <f>+F27/F29</f>
        <v>2.8716816233140228</v>
      </c>
      <c r="G28" s="1">
        <f>+G27/G29</f>
        <v>3.4339687631137359</v>
      </c>
      <c r="H28" s="1">
        <f>+H27/H29</f>
        <v>3.0036993248969455</v>
      </c>
      <c r="I28" s="1">
        <f>+I27/I29</f>
        <v>3.4285685902477576</v>
      </c>
      <c r="J28" s="1">
        <f>+J27/J29</f>
        <v>2.8741665875128133</v>
      </c>
      <c r="K28" s="1">
        <f>+K27/K29</f>
        <v>3.2687132907255063</v>
      </c>
      <c r="L28" s="1">
        <f>+L27/L29</f>
        <v>2.9566979070131798</v>
      </c>
      <c r="M28" s="1">
        <f>+M27/M29</f>
        <v>3.7113105026387383</v>
      </c>
      <c r="N28" s="1">
        <f>+N27/N29</f>
        <v>2.8221242456571796</v>
      </c>
      <c r="R28" s="1">
        <f>+R27/R29</f>
        <v>4.5834040870546113</v>
      </c>
      <c r="S28" s="1">
        <f>+S27/S29</f>
        <v>4.9839967044468443</v>
      </c>
      <c r="T28" s="1">
        <f>+T27/T29</f>
        <v>5.3472011843402294</v>
      </c>
      <c r="U28" s="1">
        <f>+U27/U29</f>
        <v>6.4086792829118435</v>
      </c>
      <c r="V28" s="1">
        <f>+V27/V29</f>
        <v>6.6261307959767537</v>
      </c>
      <c r="W28" s="1">
        <f>+W27/W29</f>
        <v>7.6346136519957959</v>
      </c>
      <c r="X28" s="1">
        <f>+X27/X29</f>
        <v>7.65808729744926</v>
      </c>
      <c r="Y28" s="1">
        <f>+Y27/Y29</f>
        <v>9.0180360100919632</v>
      </c>
      <c r="Z28" s="1">
        <f>+Z27/Z29</f>
        <v>11.134646442778037</v>
      </c>
      <c r="AA28" s="1">
        <f>+AA27/AA29</f>
        <v>12.480146391690612</v>
      </c>
      <c r="AB28" s="1">
        <f>+AB27/AB29</f>
        <v>12.528974149450352</v>
      </c>
      <c r="AC28" s="1">
        <f t="shared" ref="AC28:AL28" si="21">+AC27/AC29</f>
        <v>13.387497737302382</v>
      </c>
      <c r="AD28" s="1">
        <f t="shared" si="21"/>
        <v>15.143277425762166</v>
      </c>
      <c r="AE28" s="1">
        <f t="shared" si="21"/>
        <v>17.085787989511079</v>
      </c>
      <c r="AF28" s="1">
        <f t="shared" si="21"/>
        <v>19.233246240472578</v>
      </c>
      <c r="AG28" s="1">
        <f t="shared" si="21"/>
        <v>21.60556728714516</v>
      </c>
      <c r="AH28" s="1">
        <f t="shared" si="21"/>
        <v>24.224518579136099</v>
      </c>
      <c r="AI28" s="1">
        <f t="shared" si="21"/>
        <v>27.11388767183934</v>
      </c>
      <c r="AJ28" s="1">
        <f t="shared" si="21"/>
        <v>30.299664917420458</v>
      </c>
      <c r="AK28" s="1">
        <f t="shared" si="21"/>
        <v>33.810242393266222</v>
      </c>
      <c r="AL28" s="1">
        <f t="shared" si="21"/>
        <v>37.676630493119873</v>
      </c>
    </row>
    <row r="29" spans="2:139" s="2" customFormat="1" x14ac:dyDescent="0.2">
      <c r="B29" s="2" t="s">
        <v>1</v>
      </c>
      <c r="E29" s="2">
        <v>638.76682100000005</v>
      </c>
      <c r="F29" s="2">
        <v>637.73539000000005</v>
      </c>
      <c r="G29" s="2">
        <v>638.74343399999998</v>
      </c>
      <c r="H29" s="2">
        <v>639.24906999999996</v>
      </c>
      <c r="I29" s="2">
        <v>637.39836100000002</v>
      </c>
      <c r="J29" s="2">
        <v>636.79781400000002</v>
      </c>
      <c r="K29" s="2">
        <v>635.60759700000006</v>
      </c>
      <c r="L29" s="2">
        <v>633.88349400000004</v>
      </c>
      <c r="M29" s="2">
        <v>634.65641000000005</v>
      </c>
      <c r="N29" s="2">
        <v>634.21197800000004</v>
      </c>
      <c r="Q29" s="3"/>
      <c r="R29" s="2">
        <v>692.38996599999996</v>
      </c>
      <c r="S29" s="2">
        <v>678.75707</v>
      </c>
      <c r="T29" s="2">
        <v>667.77027399999997</v>
      </c>
      <c r="U29" s="2">
        <v>660.46322699999996</v>
      </c>
      <c r="V29" s="2">
        <v>655.29615000000001</v>
      </c>
      <c r="W29" s="2">
        <v>650.20487300000002</v>
      </c>
      <c r="X29" s="2">
        <v>647.79700300000002</v>
      </c>
      <c r="Y29" s="2">
        <v>645.909042</v>
      </c>
      <c r="Z29" s="2">
        <v>642.83918100000005</v>
      </c>
      <c r="AA29" s="2">
        <f>+AVERAGE(E29:H29)</f>
        <v>638.62367874999995</v>
      </c>
      <c r="AB29" s="2">
        <f>+AVERAGE(I29:L29)</f>
        <v>635.92181650000009</v>
      </c>
      <c r="AC29" s="2">
        <f>+AB29*0.99</f>
        <v>629.56259833500008</v>
      </c>
      <c r="AD29" s="2">
        <f t="shared" ref="AD29:AL29" si="22">+AC29*0.99</f>
        <v>623.26697235165011</v>
      </c>
      <c r="AE29" s="2">
        <f t="shared" si="22"/>
        <v>617.03430262813356</v>
      </c>
      <c r="AF29" s="2">
        <f t="shared" si="22"/>
        <v>610.86395960185223</v>
      </c>
      <c r="AG29" s="2">
        <f t="shared" si="22"/>
        <v>604.75532000583371</v>
      </c>
      <c r="AH29" s="2">
        <f t="shared" si="22"/>
        <v>598.70776680577535</v>
      </c>
      <c r="AI29" s="2">
        <f t="shared" si="22"/>
        <v>592.72068913771761</v>
      </c>
      <c r="AJ29" s="2">
        <f t="shared" si="22"/>
        <v>586.79348224634043</v>
      </c>
      <c r="AK29" s="2">
        <f t="shared" si="22"/>
        <v>580.92554742387699</v>
      </c>
      <c r="AL29" s="2">
        <f t="shared" si="22"/>
        <v>575.11629194963825</v>
      </c>
    </row>
    <row r="31" spans="2:139" s="6" customFormat="1" x14ac:dyDescent="0.2">
      <c r="B31" s="6" t="s">
        <v>18</v>
      </c>
      <c r="E31" s="6">
        <f>+E23/E18</f>
        <v>0.16466424965211021</v>
      </c>
      <c r="F31" s="6">
        <f>+F23/F18</f>
        <v>0.13841843492394609</v>
      </c>
      <c r="G31" s="6">
        <f>+G23/G18</f>
        <v>0.16337028666881787</v>
      </c>
      <c r="H31" s="6">
        <f>+H23/H18</f>
        <v>0.14918818657257962</v>
      </c>
      <c r="I31" s="6">
        <f>+I23/I18</f>
        <v>0.16669751544950814</v>
      </c>
      <c r="J31" s="6">
        <f>+J23/J18</f>
        <v>0.13682927209026804</v>
      </c>
      <c r="K31" s="6">
        <f>+K23/K18</f>
        <v>0.16446913758982612</v>
      </c>
      <c r="L31" s="6">
        <f>+L23/L18</f>
        <v>0.14992332903343636</v>
      </c>
      <c r="M31" s="6">
        <f>+M23/M18</f>
        <v>0.16667907512601354</v>
      </c>
      <c r="N31" s="6">
        <f>+N23/N18</f>
        <v>0.13474238805097513</v>
      </c>
      <c r="R31" s="6">
        <f>+R23/R18</f>
        <v>0.13435420429972667</v>
      </c>
      <c r="S31" s="6">
        <f>+S23/S18</f>
        <v>0.13672580142979252</v>
      </c>
      <c r="T31" s="6">
        <f>+T23/T18</f>
        <v>0.13824046966834924</v>
      </c>
      <c r="U31" s="6">
        <f>+U23/U18</f>
        <v>0.14350069979852587</v>
      </c>
      <c r="V31" s="6">
        <f>+V23/V18</f>
        <v>0.14389886216841347</v>
      </c>
      <c r="W31" s="6">
        <f>+W23/W18</f>
        <v>0.14590008338074534</v>
      </c>
      <c r="X31" s="6">
        <f>+X23/X18</f>
        <v>0.14694516365056554</v>
      </c>
      <c r="Y31" s="6">
        <f>+Y23/Y18</f>
        <v>0.1508216478415885</v>
      </c>
      <c r="Z31" s="6">
        <f>+Z23/Z18</f>
        <v>0.15207868649544787</v>
      </c>
      <c r="AA31" s="6">
        <f>+AA23/AA18</f>
        <v>0.15399729020010292</v>
      </c>
      <c r="AB31" s="6">
        <f>+AB23/AB18</f>
        <v>0.15461993430027265</v>
      </c>
      <c r="AC31" s="6">
        <f t="shared" ref="AC31:AL31" si="23">+AC23/AC18</f>
        <v>0.15659512136966475</v>
      </c>
      <c r="AD31" s="6">
        <f t="shared" si="23"/>
        <v>0.15856569351599736</v>
      </c>
      <c r="AE31" s="6">
        <f t="shared" si="23"/>
        <v>0.16053166152180115</v>
      </c>
      <c r="AF31" s="6">
        <f t="shared" si="23"/>
        <v>0.16249303614441396</v>
      </c>
      <c r="AG31" s="6">
        <f t="shared" si="23"/>
        <v>0.16444982811603925</v>
      </c>
      <c r="AH31" s="6">
        <f t="shared" si="23"/>
        <v>0.16640204814380558</v>
      </c>
      <c r="AI31" s="6">
        <f t="shared" si="23"/>
        <v>0.16834970690982481</v>
      </c>
      <c r="AJ31" s="6">
        <f t="shared" si="23"/>
        <v>0.1702928150712506</v>
      </c>
      <c r="AK31" s="6">
        <f t="shared" si="23"/>
        <v>0.17223138326033655</v>
      </c>
      <c r="AL31" s="6">
        <f t="shared" si="23"/>
        <v>0.17416542208449481</v>
      </c>
      <c r="AN31" s="6" t="s">
        <v>105</v>
      </c>
      <c r="AO31" s="6">
        <v>-0.01</v>
      </c>
    </row>
    <row r="32" spans="2:139" s="6" customFormat="1" x14ac:dyDescent="0.2">
      <c r="B32" s="6" t="s">
        <v>19</v>
      </c>
      <c r="E32" s="6">
        <f>+E27/E18</f>
        <v>0.12860251862450395</v>
      </c>
      <c r="F32" s="6">
        <f>+F27/F18</f>
        <v>0.11580591265118266</v>
      </c>
      <c r="G32" s="6">
        <f>+G27/G18</f>
        <v>0.1324165380539265</v>
      </c>
      <c r="H32" s="6">
        <f>+H27/H18</f>
        <v>0.12011810925105723</v>
      </c>
      <c r="I32" s="6">
        <f>+I27/I18</f>
        <v>0.13469694198881774</v>
      </c>
      <c r="J32" s="6">
        <f>+J27/J18</f>
        <v>0.11584299365157684</v>
      </c>
      <c r="K32" s="6">
        <f>+K27/K18</f>
        <v>0.12616995817287951</v>
      </c>
      <c r="L32" s="6">
        <f>+L27/L18</f>
        <v>0.11424007542689589</v>
      </c>
      <c r="M32" s="6">
        <f>+M27/M18</f>
        <v>0.13315249205109558</v>
      </c>
      <c r="N32" s="6">
        <f>+N27/N18</f>
        <v>0.1074369806992501</v>
      </c>
      <c r="R32" s="6">
        <f>+R27/R18</f>
        <v>9.9561884201622458E-2</v>
      </c>
      <c r="S32" s="6">
        <f>+S27/S18</f>
        <v>0.10277934682982744</v>
      </c>
      <c r="T32" s="6">
        <f>+T27/T18</f>
        <v>0.10261327621991602</v>
      </c>
      <c r="U32" s="6">
        <f>+U27/U18</f>
        <v>0.11700018252008244</v>
      </c>
      <c r="V32" s="6">
        <f>+V27/V18</f>
        <v>0.10592362989806881</v>
      </c>
      <c r="W32" s="6">
        <f>+W27/W18</f>
        <v>0.11486894612295946</v>
      </c>
      <c r="X32" s="6">
        <f>+X27/X18</f>
        <v>0.11191557369757996</v>
      </c>
      <c r="Y32" s="6">
        <f>+Y27/Y18</f>
        <v>0.11526697724548024</v>
      </c>
      <c r="Z32" s="6">
        <f>+Z27/Z18</f>
        <v>0.11620858454365215</v>
      </c>
      <c r="AA32" s="6">
        <f>+AA27/AA18</f>
        <v>0.12431602041092467</v>
      </c>
      <c r="AB32" s="6">
        <f>+AB27/AB18</f>
        <v>0.12277168136618369</v>
      </c>
      <c r="AC32" s="6">
        <f t="shared" ref="AC32:AL32" si="24">+AC27/AC18</f>
        <v>0.12137619472027804</v>
      </c>
      <c r="AD32" s="6">
        <f t="shared" si="24"/>
        <v>0.12702973817374993</v>
      </c>
      <c r="AE32" s="6">
        <f t="shared" si="24"/>
        <v>0.13260868065581602</v>
      </c>
      <c r="AF32" s="6">
        <f t="shared" si="24"/>
        <v>0.13811503248299589</v>
      </c>
      <c r="AG32" s="6">
        <f t="shared" si="24"/>
        <v>0.14355074436594228</v>
      </c>
      <c r="AH32" s="6">
        <f t="shared" si="24"/>
        <v>0.14891770919084202</v>
      </c>
      <c r="AI32" s="6">
        <f t="shared" si="24"/>
        <v>0.15421776374754326</v>
      </c>
      <c r="AJ32" s="6">
        <f t="shared" si="24"/>
        <v>0.15945269040600377</v>
      </c>
      <c r="AK32" s="6">
        <f t="shared" si="24"/>
        <v>0.1646242187426048</v>
      </c>
      <c r="AL32" s="6">
        <f t="shared" si="24"/>
        <v>0.169734027117831</v>
      </c>
      <c r="AN32" s="6" t="s">
        <v>106</v>
      </c>
      <c r="AO32" s="6">
        <v>0.08</v>
      </c>
    </row>
    <row r="33" spans="2:41" s="6" customFormat="1" x14ac:dyDescent="0.2">
      <c r="B33" s="6" t="s">
        <v>20</v>
      </c>
      <c r="E33" s="6">
        <f>+E26/E25</f>
        <v>0.23011300025660272</v>
      </c>
      <c r="F33" s="6">
        <f>+F26/F25</f>
        <v>0.17787022422378196</v>
      </c>
      <c r="G33" s="6">
        <f>+G26/G25</f>
        <v>0.21008070164950585</v>
      </c>
      <c r="H33" s="6">
        <f>+H26/H25</f>
        <v>0.22294980993732563</v>
      </c>
      <c r="I33" s="6">
        <f>+I26/I25</f>
        <v>0.21728659659116134</v>
      </c>
      <c r="J33" s="6">
        <f>+J26/J25</f>
        <v>0.17436710573800077</v>
      </c>
      <c r="K33" s="6">
        <f>+K26/K25</f>
        <v>0.24467824045377048</v>
      </c>
      <c r="L33" s="6">
        <f>+L26/L25</f>
        <v>0.24673274394044911</v>
      </c>
      <c r="M33" s="6">
        <f>+M26/M25</f>
        <v>0.21341229242515034</v>
      </c>
      <c r="N33" s="6">
        <f>+N26/N25</f>
        <v>0.2066934142023743</v>
      </c>
      <c r="R33" s="6">
        <f>+R26/R25</f>
        <v>0.26115919786666447</v>
      </c>
      <c r="S33" s="6">
        <f>+S26/S25</f>
        <v>0.25151006800505543</v>
      </c>
      <c r="T33" s="6">
        <f>+T26/T25</f>
        <v>0.25990767038830215</v>
      </c>
      <c r="U33" s="6">
        <f>+U26/U25</f>
        <v>0.18817380116640514</v>
      </c>
      <c r="V33" s="6">
        <f>+V26/V25</f>
        <v>0.26846572793175782</v>
      </c>
      <c r="W33" s="6">
        <f>+W26/W25</f>
        <v>0.22066563164924016</v>
      </c>
      <c r="X33" s="6">
        <f>+X26/X25</f>
        <v>0.24260172362831575</v>
      </c>
      <c r="Y33" s="6">
        <f>+Y26/Y25</f>
        <v>0.23311090051586467</v>
      </c>
      <c r="Z33" s="6">
        <f>+Z26/Z25</f>
        <v>0.235686963600831</v>
      </c>
      <c r="AA33" s="6">
        <f>+AA26/AA25</f>
        <v>0.21134168995417443</v>
      </c>
      <c r="AB33" s="6">
        <f>+AB26/AB25</f>
        <v>0.22250397996638011</v>
      </c>
      <c r="AC33" s="6">
        <f t="shared" ref="AC33:AL33" si="25">+AC26/AC25</f>
        <v>0.24</v>
      </c>
      <c r="AD33" s="6">
        <f t="shared" si="25"/>
        <v>0.24</v>
      </c>
      <c r="AE33" s="6">
        <f t="shared" si="25"/>
        <v>0.24</v>
      </c>
      <c r="AF33" s="6">
        <f t="shared" si="25"/>
        <v>0.24</v>
      </c>
      <c r="AG33" s="6">
        <f t="shared" si="25"/>
        <v>0.23999999999999996</v>
      </c>
      <c r="AH33" s="6">
        <f t="shared" si="25"/>
        <v>0.24</v>
      </c>
      <c r="AI33" s="6">
        <f t="shared" si="25"/>
        <v>0.24000000000000002</v>
      </c>
      <c r="AJ33" s="6">
        <f t="shared" si="25"/>
        <v>0.24000000000000002</v>
      </c>
      <c r="AK33" s="6">
        <f t="shared" si="25"/>
        <v>0.24</v>
      </c>
      <c r="AL33" s="6">
        <f t="shared" si="25"/>
        <v>0.24</v>
      </c>
      <c r="AN33" s="6" t="s">
        <v>107</v>
      </c>
      <c r="AO33" s="2">
        <f>+NPV(AO32,AC27:EI27)+Main!L5-Main!L6</f>
        <v>203944.54387345575</v>
      </c>
    </row>
    <row r="34" spans="2:41" x14ac:dyDescent="0.2">
      <c r="AN34" s="6" t="s">
        <v>1</v>
      </c>
      <c r="AO34" s="1">
        <f>+AO33/Main!L3</f>
        <v>300.64733095635853</v>
      </c>
    </row>
    <row r="35" spans="2:41" s="3" customFormat="1" x14ac:dyDescent="0.2">
      <c r="B35" s="3" t="s">
        <v>21</v>
      </c>
      <c r="I35" s="3">
        <f>+I18/E18-1</f>
        <v>3.0258254453542133E-2</v>
      </c>
      <c r="J35" s="3">
        <f>+J18/F18-1</f>
        <v>-9.2600567162670622E-4</v>
      </c>
      <c r="K35" s="3">
        <f>+K18/G18-1</f>
        <v>-5.9015665046844301E-3</v>
      </c>
      <c r="L35" s="3">
        <f>+L18/H18-1</f>
        <v>2.6313027050021143E-2</v>
      </c>
      <c r="M35" s="3">
        <f>+M18/I18-1</f>
        <v>9.0311552983200372E-2</v>
      </c>
      <c r="N35" s="3">
        <f>+N18/J18-1</f>
        <v>5.4418572621917294E-2</v>
      </c>
      <c r="S35" s="3">
        <f>+S18/R18-1</f>
        <v>3.2619811877001581E-2</v>
      </c>
      <c r="T35" s="3">
        <f>+T18/S18-1</f>
        <v>5.7216161522376963E-2</v>
      </c>
      <c r="U35" s="3">
        <f>+U18/T18-1</f>
        <v>3.9634273119679042E-2</v>
      </c>
      <c r="V35" s="3">
        <f>+V18/U18-1</f>
        <v>0.1331153541018133</v>
      </c>
      <c r="W35" s="3">
        <f>+W18/V18-1</f>
        <v>5.4216677602804353E-2</v>
      </c>
      <c r="X35" s="3">
        <f>+X18/W18-1</f>
        <v>2.5732399987939303E-2</v>
      </c>
      <c r="Y35" s="3">
        <f>+Y18/X18-1</f>
        <v>0.14001273579315798</v>
      </c>
      <c r="Z35" s="3">
        <f>+Z18/Y18-1</f>
        <v>0.21888332088710682</v>
      </c>
      <c r="AA35" s="3">
        <f>+AA18/Z18-1</f>
        <v>4.087131107332076E-2</v>
      </c>
      <c r="AB35" s="3">
        <f>+AB18/AA18-1</f>
        <v>1.2239863382286886E-2</v>
      </c>
      <c r="AC35" s="3">
        <f t="shared" ref="AC35:AL35" si="26">+AC18/AB18-1</f>
        <v>7.0000000000000062E-2</v>
      </c>
      <c r="AD35" s="3">
        <f t="shared" si="26"/>
        <v>7.0000000000000062E-2</v>
      </c>
      <c r="AE35" s="3">
        <f t="shared" si="26"/>
        <v>7.0000000000000062E-2</v>
      </c>
      <c r="AF35" s="3">
        <f t="shared" si="26"/>
        <v>7.0000000000000062E-2</v>
      </c>
      <c r="AG35" s="3">
        <f t="shared" si="26"/>
        <v>7.0000000000000062E-2</v>
      </c>
      <c r="AH35" s="3">
        <f t="shared" si="26"/>
        <v>7.0000000000000062E-2</v>
      </c>
      <c r="AI35" s="3">
        <f t="shared" si="26"/>
        <v>7.0000000000000062E-2</v>
      </c>
      <c r="AJ35" s="3">
        <f t="shared" si="26"/>
        <v>7.0000000000000062E-2</v>
      </c>
      <c r="AK35" s="3">
        <f t="shared" si="26"/>
        <v>7.0000000000000062E-2</v>
      </c>
      <c r="AL35" s="3">
        <f t="shared" si="26"/>
        <v>7.0000000000000062E-2</v>
      </c>
      <c r="AN35" s="15" t="s">
        <v>108</v>
      </c>
      <c r="AO35" s="6">
        <f>+AO34/Main!L2-1</f>
        <v>2.4736122418482331E-2</v>
      </c>
    </row>
    <row r="36" spans="2:41" x14ac:dyDescent="0.2">
      <c r="AB36" s="6"/>
    </row>
    <row r="37" spans="2:41" s="2" customFormat="1" x14ac:dyDescent="0.2">
      <c r="B37" s="2" t="s">
        <v>45</v>
      </c>
      <c r="L37" s="2">
        <f>+L38-L49</f>
        <v>4319.6719999999996</v>
      </c>
      <c r="M37" s="2">
        <f>+M38-M49</f>
        <v>3528.9309999999996</v>
      </c>
      <c r="N37" s="2">
        <f>+N38-N49</f>
        <v>3779.9299999999994</v>
      </c>
      <c r="AB37" s="2">
        <f>+AB38-AB49</f>
        <v>4319.6719999999996</v>
      </c>
      <c r="AC37" s="2">
        <f>+AB37+AC27</f>
        <v>12747.939860700022</v>
      </c>
      <c r="AD37" s="2">
        <f t="shared" ref="AD37:AL37" si="27">+AC37+AD27</f>
        <v>22186.244533335899</v>
      </c>
      <c r="AE37" s="2">
        <f t="shared" si="27"/>
        <v>32728.761810296008</v>
      </c>
      <c r="AF37" s="2">
        <f t="shared" si="27"/>
        <v>44477.658764748528</v>
      </c>
      <c r="AG37" s="2">
        <f t="shared" si="27"/>
        <v>57543.740523393571</v>
      </c>
      <c r="AH37" s="2">
        <f t="shared" si="27"/>
        <v>72047.147943853153</v>
      </c>
      <c r="AI37" s="2">
        <f t="shared" si="27"/>
        <v>88118.110129908426</v>
      </c>
      <c r="AJ37" s="2">
        <f t="shared" si="27"/>
        <v>105897.75601769885</v>
      </c>
      <c r="AK37" s="2">
        <f t="shared" si="27"/>
        <v>125538.98958854101</v>
      </c>
      <c r="AL37" s="2">
        <f t="shared" si="27"/>
        <v>147207.43361090077</v>
      </c>
    </row>
    <row r="38" spans="2:41" s="2" customFormat="1" x14ac:dyDescent="0.2">
      <c r="B38" s="2" t="s">
        <v>3</v>
      </c>
      <c r="L38" s="2">
        <f>5004.469+5.396+334.664</f>
        <v>5344.5289999999995</v>
      </c>
      <c r="M38" s="2">
        <f>8306.055+5.15+371.507</f>
        <v>8682.7119999999995</v>
      </c>
      <c r="N38" s="2">
        <f>8490.438+5.062+441.72</f>
        <v>8937.2199999999993</v>
      </c>
      <c r="AB38" s="2">
        <f>5004.469+5.396+334.664</f>
        <v>5344.5289999999995</v>
      </c>
    </row>
    <row r="39" spans="2:41" s="2" customFormat="1" x14ac:dyDescent="0.2">
      <c r="B39" s="2" t="s">
        <v>46</v>
      </c>
      <c r="L39" s="2">
        <v>13664.847</v>
      </c>
      <c r="M39" s="2">
        <v>14574.637000000001</v>
      </c>
      <c r="N39" s="2">
        <v>14281.294</v>
      </c>
      <c r="AB39" s="2">
        <v>13664.847</v>
      </c>
    </row>
    <row r="40" spans="2:41" s="2" customFormat="1" x14ac:dyDescent="0.2">
      <c r="B40" s="2" t="s">
        <v>47</v>
      </c>
      <c r="L40" s="2">
        <v>2183.069</v>
      </c>
      <c r="M40" s="2">
        <v>2312.4949999999999</v>
      </c>
      <c r="N40" s="2">
        <v>2530.8580000000002</v>
      </c>
      <c r="AB40" s="2">
        <v>2183.069</v>
      </c>
    </row>
    <row r="41" spans="2:41" s="2" customFormat="1" x14ac:dyDescent="0.2">
      <c r="B41" s="2" t="s">
        <v>48</v>
      </c>
      <c r="L41" s="2">
        <v>120.26</v>
      </c>
      <c r="M41" s="2">
        <v>128.98099999999999</v>
      </c>
      <c r="N41" s="2">
        <v>141.56100000000001</v>
      </c>
      <c r="AB41" s="2">
        <v>120.26</v>
      </c>
    </row>
    <row r="42" spans="2:41" s="2" customFormat="1" x14ac:dyDescent="0.2">
      <c r="B42" s="2" t="s">
        <v>49</v>
      </c>
      <c r="L42" s="2">
        <v>1521.1189999999999</v>
      </c>
      <c r="M42" s="2">
        <v>1507.46</v>
      </c>
      <c r="N42" s="2">
        <v>1510.8409999999999</v>
      </c>
      <c r="AB42" s="2">
        <v>1521.1189999999999</v>
      </c>
    </row>
    <row r="43" spans="2:41" s="2" customFormat="1" x14ac:dyDescent="0.2">
      <c r="B43" s="2" t="s">
        <v>50</v>
      </c>
      <c r="L43" s="2">
        <v>2757.3960000000002</v>
      </c>
      <c r="M43" s="2">
        <v>2669.48</v>
      </c>
      <c r="N43" s="2">
        <v>2595.3420000000001</v>
      </c>
      <c r="AB43" s="2">
        <v>2757.3960000000002</v>
      </c>
    </row>
    <row r="44" spans="2:41" s="2" customFormat="1" x14ac:dyDescent="0.2">
      <c r="B44" s="2" t="s">
        <v>51</v>
      </c>
      <c r="L44" s="2">
        <f>21120.179+2904.031</f>
        <v>24024.21</v>
      </c>
      <c r="M44" s="2">
        <v>20868.911</v>
      </c>
      <c r="N44" s="2">
        <f>20948.597+2615.648</f>
        <v>23564.245000000003</v>
      </c>
      <c r="AB44" s="2">
        <f>21120.179+2904.031</f>
        <v>24024.21</v>
      </c>
    </row>
    <row r="45" spans="2:41" s="2" customFormat="1" x14ac:dyDescent="0.2">
      <c r="B45" s="2" t="s">
        <v>52</v>
      </c>
      <c r="L45" s="2">
        <v>862.14</v>
      </c>
      <c r="M45" s="2">
        <v>0</v>
      </c>
      <c r="N45" s="2">
        <v>929.14300000000003</v>
      </c>
      <c r="AB45" s="2">
        <v>862.14</v>
      </c>
    </row>
    <row r="46" spans="2:41" s="2" customFormat="1" x14ac:dyDescent="0.2">
      <c r="B46" s="2" t="s">
        <v>53</v>
      </c>
      <c r="L46" s="2">
        <v>4147.4960000000001</v>
      </c>
      <c r="M46" s="2">
        <v>0</v>
      </c>
      <c r="N46" s="2">
        <v>3962.252</v>
      </c>
      <c r="AB46" s="2">
        <v>4147.4960000000001</v>
      </c>
    </row>
    <row r="47" spans="2:41" s="2" customFormat="1" x14ac:dyDescent="0.2">
      <c r="B47" s="2" t="s">
        <v>54</v>
      </c>
      <c r="L47" s="2">
        <v>1307.297</v>
      </c>
      <c r="M47" s="2">
        <v>9123.3940000000002</v>
      </c>
      <c r="N47" s="2">
        <v>1417</v>
      </c>
      <c r="AB47" s="2">
        <v>1307.297</v>
      </c>
    </row>
    <row r="48" spans="2:41" s="5" customFormat="1" x14ac:dyDescent="0.2">
      <c r="B48" s="5" t="s">
        <v>55</v>
      </c>
      <c r="L48" s="5">
        <f>+SUM(L38:L47)</f>
        <v>55932.36299999999</v>
      </c>
      <c r="M48" s="5">
        <f>+SUM(M38:M47)</f>
        <v>59868.07</v>
      </c>
      <c r="N48" s="5">
        <f>+SUM(N38:N47)</f>
        <v>59869.756000000001</v>
      </c>
      <c r="AB48" s="5">
        <f>+SUM(AB38:AB47)</f>
        <v>55932.36299999999</v>
      </c>
    </row>
    <row r="49" spans="2:28" s="2" customFormat="1" x14ac:dyDescent="0.2">
      <c r="B49" s="2" t="s">
        <v>4</v>
      </c>
      <c r="L49" s="2">
        <f>946.229+78.628</f>
        <v>1024.857</v>
      </c>
      <c r="M49" s="2">
        <f>114.321+5039.46</f>
        <v>5153.7809999999999</v>
      </c>
      <c r="N49" s="2">
        <f>115.179+5042.111</f>
        <v>5157.29</v>
      </c>
      <c r="AB49" s="2">
        <f>946.229+78.628</f>
        <v>1024.857</v>
      </c>
    </row>
    <row r="50" spans="2:28" s="2" customFormat="1" x14ac:dyDescent="0.2">
      <c r="B50" s="2" t="s">
        <v>56</v>
      </c>
      <c r="L50" s="2">
        <v>2743.8069999999998</v>
      </c>
      <c r="M50" s="2">
        <v>2579.165</v>
      </c>
      <c r="N50" s="2">
        <v>2614.866</v>
      </c>
      <c r="AB50" s="2">
        <v>2743.8069999999998</v>
      </c>
    </row>
    <row r="51" spans="2:28" s="2" customFormat="1" x14ac:dyDescent="0.2">
      <c r="B51" s="2" t="s">
        <v>57</v>
      </c>
      <c r="L51" s="2">
        <f>5174.923+641.091</f>
        <v>5816.0140000000001</v>
      </c>
      <c r="M51" s="2">
        <v>4711.5529999999999</v>
      </c>
      <c r="N51" s="2">
        <f>5460.618+638.448</f>
        <v>6099.0660000000007</v>
      </c>
      <c r="AB51" s="2">
        <f>5174.923+641.091</f>
        <v>5816.0140000000001</v>
      </c>
    </row>
    <row r="52" spans="2:28" s="2" customFormat="1" x14ac:dyDescent="0.2">
      <c r="B52" s="2" t="s">
        <v>58</v>
      </c>
      <c r="L52" s="2">
        <v>7050.8329999999996</v>
      </c>
      <c r="M52" s="2">
        <v>6602.3239999999996</v>
      </c>
      <c r="N52" s="2">
        <v>6071.2420000000002</v>
      </c>
      <c r="AB52" s="2">
        <v>7050.8329999999996</v>
      </c>
    </row>
    <row r="53" spans="2:28" s="2" customFormat="1" x14ac:dyDescent="0.2">
      <c r="B53" s="2" t="s">
        <v>15</v>
      </c>
      <c r="L53" s="2">
        <f>719.084+1514.869</f>
        <v>2233.953</v>
      </c>
      <c r="M53" s="2">
        <v>0</v>
      </c>
      <c r="N53" s="2">
        <f>622.374+1274.62</f>
        <v>1896.9939999999999</v>
      </c>
      <c r="AB53" s="2">
        <f>719.084+1514.869</f>
        <v>2233.953</v>
      </c>
    </row>
    <row r="54" spans="2:28" s="2" customFormat="1" x14ac:dyDescent="0.2">
      <c r="B54" s="2" t="s">
        <v>50</v>
      </c>
      <c r="L54" s="2">
        <f>726.202+2369.49</f>
        <v>3095.692</v>
      </c>
      <c r="M54" s="2">
        <f>709.964+2282.652</f>
        <v>2992.616</v>
      </c>
      <c r="N54" s="2">
        <f>691.158+2211.882</f>
        <v>2903.04</v>
      </c>
      <c r="AB54" s="2">
        <f>726.202+2369.49</f>
        <v>3095.692</v>
      </c>
    </row>
    <row r="55" spans="2:28" s="2" customFormat="1" x14ac:dyDescent="0.2">
      <c r="B55" s="2" t="s">
        <v>64</v>
      </c>
      <c r="L55" s="2">
        <v>1615.049</v>
      </c>
      <c r="M55" s="2">
        <v>2469.6410000000001</v>
      </c>
      <c r="N55" s="2">
        <v>1554.9179999999999</v>
      </c>
      <c r="AB55" s="2">
        <v>1615.049</v>
      </c>
    </row>
    <row r="56" spans="2:28" s="2" customFormat="1" x14ac:dyDescent="0.2">
      <c r="B56" s="2" t="s">
        <v>59</v>
      </c>
      <c r="L56" s="2">
        <v>1815.867</v>
      </c>
      <c r="M56" s="2">
        <v>0</v>
      </c>
      <c r="N56" s="2">
        <v>1862.0429999999999</v>
      </c>
      <c r="AB56" s="2">
        <v>1815.867</v>
      </c>
    </row>
    <row r="57" spans="2:28" s="2" customFormat="1" x14ac:dyDescent="0.2">
      <c r="B57" s="2" t="s">
        <v>53</v>
      </c>
      <c r="L57" s="2">
        <v>428.84500000000003</v>
      </c>
      <c r="M57" s="2">
        <v>0</v>
      </c>
      <c r="N57" s="2">
        <v>451.64800000000002</v>
      </c>
      <c r="AB57" s="2">
        <v>428.84500000000003</v>
      </c>
    </row>
    <row r="58" spans="2:28" s="2" customFormat="1" x14ac:dyDescent="0.2">
      <c r="B58" s="2" t="s">
        <v>60</v>
      </c>
      <c r="L58" s="2">
        <v>939.19799999999998</v>
      </c>
      <c r="M58" s="2">
        <v>5256.567</v>
      </c>
      <c r="N58" s="2">
        <v>1076.701</v>
      </c>
      <c r="AB58" s="2">
        <v>939.19799999999998</v>
      </c>
    </row>
    <row r="59" spans="2:28" s="5" customFormat="1" x14ac:dyDescent="0.2">
      <c r="B59" s="5" t="s">
        <v>61</v>
      </c>
      <c r="L59" s="5">
        <f>+SUM(L49:L58)</f>
        <v>26764.114999999998</v>
      </c>
      <c r="M59" s="5">
        <f>+SUM(M49:M58)</f>
        <v>29765.646999999997</v>
      </c>
      <c r="N59" s="5">
        <f>+SUM(N49:N58)</f>
        <v>29687.808000000005</v>
      </c>
      <c r="AB59" s="5">
        <f>+SUM(AB49:AB58)</f>
        <v>26764.114999999998</v>
      </c>
    </row>
    <row r="60" spans="2:28" s="2" customFormat="1" x14ac:dyDescent="0.2">
      <c r="B60" s="2" t="s">
        <v>62</v>
      </c>
      <c r="L60" s="2">
        <v>29168.248</v>
      </c>
      <c r="M60" s="2">
        <v>30102.422999999999</v>
      </c>
      <c r="N60" s="2">
        <v>30181.948</v>
      </c>
      <c r="AB60" s="2">
        <v>29168.248</v>
      </c>
    </row>
    <row r="61" spans="2:28" s="2" customFormat="1" x14ac:dyDescent="0.2">
      <c r="B61" s="2" t="s">
        <v>63</v>
      </c>
      <c r="L61" s="2">
        <f>+L60+L59</f>
        <v>55932.362999999998</v>
      </c>
      <c r="M61" s="2">
        <f>+M60+M59</f>
        <v>59868.069999999992</v>
      </c>
      <c r="N61" s="2">
        <f>+N60+N59</f>
        <v>59869.756000000008</v>
      </c>
      <c r="AB61" s="2">
        <f>+AB60+AB59</f>
        <v>55932.362999999998</v>
      </c>
    </row>
    <row r="63" spans="2:28" s="2" customFormat="1" x14ac:dyDescent="0.2">
      <c r="B63" s="2" t="s">
        <v>65</v>
      </c>
      <c r="L63" s="2">
        <f>+SUM(I27:L27)</f>
        <v>7967.448000000004</v>
      </c>
      <c r="M63" s="2">
        <f>+SUM(J27:M27)</f>
        <v>8137.491</v>
      </c>
      <c r="N63" s="2">
        <f>+SUM(K27:N27)</f>
        <v>8097.052999999999</v>
      </c>
      <c r="AB63" s="2">
        <f>+AB27</f>
        <v>7967.4480000000112</v>
      </c>
    </row>
    <row r="64" spans="2:28" s="6" customFormat="1" x14ac:dyDescent="0.2">
      <c r="B64" s="6" t="s">
        <v>66</v>
      </c>
      <c r="L64" s="6">
        <f>+L63/(L39+L40+L41+L42+L43+L45+L46+L47)</f>
        <v>0.29993829155238777</v>
      </c>
      <c r="M64" s="6">
        <f>+M63/(M39+M40+M41+M42+M43+M45+M46+M47)</f>
        <v>0.26841836050246914</v>
      </c>
      <c r="N64" s="6">
        <f>+N63/(N39+N40+N41+N42+N43+N45+N46+N47)</f>
        <v>0.2958552654968481</v>
      </c>
      <c r="AB64" s="6">
        <f>+AB63/(AB39+AB40+AB41+AB42+AB43+AB45+AB46+AB47)</f>
        <v>0.29993829155238805</v>
      </c>
    </row>
    <row r="66" spans="2:28" x14ac:dyDescent="0.2">
      <c r="B66" t="s">
        <v>78</v>
      </c>
      <c r="I66" s="2">
        <f>+I27</f>
        <v>2185.3640000000014</v>
      </c>
      <c r="J66" s="2">
        <f>+J27</f>
        <v>1830.2629999999992</v>
      </c>
      <c r="K66" s="2">
        <f>+K27</f>
        <v>2077.6190000000015</v>
      </c>
      <c r="L66" s="2">
        <f>+L27</f>
        <v>1874.2020000000016</v>
      </c>
      <c r="M66" s="2">
        <f>+M27</f>
        <v>2355.4069999999974</v>
      </c>
      <c r="N66" s="2">
        <f>+N27</f>
        <v>1789.824999999998</v>
      </c>
      <c r="AB66" s="2">
        <f>+SUM(I66:L66)</f>
        <v>7967.448000000004</v>
      </c>
    </row>
    <row r="67" spans="2:28" s="2" customFormat="1" x14ac:dyDescent="0.2">
      <c r="B67" s="2" t="s">
        <v>79</v>
      </c>
      <c r="I67" s="2">
        <v>2009.981</v>
      </c>
      <c r="J67" s="2">
        <v>1709.202</v>
      </c>
      <c r="K67" s="2">
        <v>1981.348</v>
      </c>
      <c r="L67" s="2">
        <v>1718.6659999999999</v>
      </c>
      <c r="M67" s="2">
        <v>2316.19</v>
      </c>
      <c r="N67" s="2">
        <v>1822.441</v>
      </c>
      <c r="AB67" s="2">
        <f t="shared" ref="AB67:AB70" si="28">+SUM(I67:L67)</f>
        <v>7419.1970000000001</v>
      </c>
    </row>
    <row r="68" spans="2:28" s="2" customFormat="1" x14ac:dyDescent="0.2">
      <c r="B68" s="2" t="s">
        <v>80</v>
      </c>
      <c r="I68" s="2">
        <v>521.4</v>
      </c>
      <c r="J68" s="2">
        <v>528.928</v>
      </c>
      <c r="K68" s="2">
        <v>521.30499999999995</v>
      </c>
      <c r="L68" s="2">
        <v>596.40499999999997</v>
      </c>
      <c r="M68" s="2">
        <v>569.34</v>
      </c>
      <c r="N68" s="2">
        <v>544.87</v>
      </c>
      <c r="AB68" s="2">
        <f t="shared" si="28"/>
        <v>2168.0379999999996</v>
      </c>
    </row>
    <row r="69" spans="2:28" s="2" customFormat="1" x14ac:dyDescent="0.2">
      <c r="B69" s="2" t="s">
        <v>81</v>
      </c>
      <c r="I69" s="2">
        <v>423</v>
      </c>
      <c r="J69" s="2">
        <v>641.87099999999998</v>
      </c>
      <c r="K69" s="2">
        <v>473.93099999999998</v>
      </c>
      <c r="L69" s="2">
        <v>402.78800000000001</v>
      </c>
      <c r="M69" s="2">
        <v>470.42500000000001</v>
      </c>
      <c r="N69" s="2">
        <v>686.11400000000003</v>
      </c>
      <c r="AB69" s="2">
        <f t="shared" si="28"/>
        <v>1941.5900000000001</v>
      </c>
    </row>
    <row r="70" spans="2:28" s="2" customFormat="1" x14ac:dyDescent="0.2">
      <c r="B70" s="2" t="s">
        <v>82</v>
      </c>
      <c r="I70" s="2">
        <v>-2455.83</v>
      </c>
      <c r="J70" s="2">
        <v>-778.95799999999997</v>
      </c>
      <c r="K70" s="2">
        <v>165.41800000000001</v>
      </c>
      <c r="L70" s="2">
        <v>671.572</v>
      </c>
      <c r="M70" s="2">
        <v>-2333.4690000000001</v>
      </c>
      <c r="N70" s="2">
        <v>-200.02500000000001</v>
      </c>
      <c r="AB70" s="2">
        <f t="shared" si="28"/>
        <v>-2397.7979999999998</v>
      </c>
    </row>
    <row r="71" spans="2:28" s="5" customFormat="1" x14ac:dyDescent="0.2">
      <c r="B71" s="5" t="s">
        <v>83</v>
      </c>
      <c r="I71" s="5">
        <f>+SUM(I67:I70)</f>
        <v>498.55099999999993</v>
      </c>
      <c r="J71" s="5">
        <f>+SUM(J67:J70)</f>
        <v>2101.0430000000001</v>
      </c>
      <c r="K71" s="5">
        <f>+SUM(K67:K70)</f>
        <v>3142.002</v>
      </c>
      <c r="L71" s="5">
        <f>+SUM(L67:L70)</f>
        <v>3389.431</v>
      </c>
      <c r="M71" s="5">
        <f>+SUM(M67:M70)</f>
        <v>1022.4860000000003</v>
      </c>
      <c r="N71" s="5">
        <f>+SUM(N67:N70)</f>
        <v>2853.4</v>
      </c>
      <c r="AB71" s="5">
        <f>+SUM(AB67:AB70)</f>
        <v>9131.0270000000019</v>
      </c>
    </row>
    <row r="73" spans="2:28" s="5" customFormat="1" x14ac:dyDescent="0.2">
      <c r="B73" s="5" t="s">
        <v>84</v>
      </c>
      <c r="I73" s="5">
        <v>-68.933000000000007</v>
      </c>
      <c r="J73" s="5">
        <v>-109.82299999999999</v>
      </c>
      <c r="K73" s="5">
        <v>-124.117</v>
      </c>
      <c r="L73" s="5">
        <v>-213.636</v>
      </c>
      <c r="M73" s="5">
        <v>-152.20500000000001</v>
      </c>
      <c r="N73" s="5">
        <v>-170.81200000000001</v>
      </c>
      <c r="AB73" s="5">
        <f t="shared" ref="AB73:AB75" si="29">+SUM(I73:L73)</f>
        <v>-516.50900000000001</v>
      </c>
    </row>
    <row r="74" spans="2:28" s="2" customFormat="1" x14ac:dyDescent="0.2">
      <c r="B74" s="2" t="s">
        <v>85</v>
      </c>
      <c r="I74" s="2">
        <v>-788.02499999999998</v>
      </c>
      <c r="J74" s="2">
        <f>-2121.455+20.905</f>
        <v>-2100.5499999999997</v>
      </c>
      <c r="K74" s="2">
        <v>-2329.6999999999998</v>
      </c>
      <c r="L74" s="2">
        <f>-1343.522+7.816</f>
        <v>-1335.7059999999999</v>
      </c>
      <c r="M74" s="2">
        <f>-241.56+5.27</f>
        <v>-236.29</v>
      </c>
      <c r="N74" s="2">
        <f>-250.795+10.163</f>
        <v>-240.63199999999998</v>
      </c>
      <c r="AB74" s="2">
        <f t="shared" si="29"/>
        <v>-6553.9809999999998</v>
      </c>
    </row>
    <row r="75" spans="2:28" s="2" customFormat="1" x14ac:dyDescent="0.2">
      <c r="B75" s="2" t="s">
        <v>90</v>
      </c>
      <c r="I75" s="2">
        <v>1.528</v>
      </c>
      <c r="J75" s="2">
        <v>2.125</v>
      </c>
      <c r="K75" s="2">
        <v>2.851</v>
      </c>
      <c r="L75" s="2">
        <v>2.1680000000000001</v>
      </c>
      <c r="M75" s="2">
        <v>2.9710000000000001</v>
      </c>
      <c r="N75" s="2">
        <v>4.16</v>
      </c>
      <c r="AB75" s="2">
        <f t="shared" si="29"/>
        <v>8.6720000000000006</v>
      </c>
    </row>
    <row r="76" spans="2:28" s="2" customFormat="1" x14ac:dyDescent="0.2">
      <c r="B76" s="2" t="s">
        <v>86</v>
      </c>
      <c r="I76" s="2">
        <f>+SUM(I73:I75)</f>
        <v>-855.43</v>
      </c>
      <c r="J76" s="2">
        <f>+SUM(J73:J75)</f>
        <v>-2208.2479999999996</v>
      </c>
      <c r="K76" s="2">
        <f>+SUM(K73:K75)</f>
        <v>-2450.9659999999999</v>
      </c>
      <c r="L76" s="2">
        <f>+SUM(L73:L75)</f>
        <v>-1547.174</v>
      </c>
      <c r="M76" s="2">
        <f>+SUM(M73:M75)</f>
        <v>-385.524</v>
      </c>
      <c r="N76" s="2">
        <f>+SUM(N73:N75)</f>
        <v>-407.28399999999993</v>
      </c>
      <c r="AB76" s="2">
        <f>+SUM(AB73:AB75)</f>
        <v>-7061.8180000000002</v>
      </c>
    </row>
    <row r="78" spans="2:28" s="2" customFormat="1" x14ac:dyDescent="0.2">
      <c r="B78" s="2" t="s">
        <v>87</v>
      </c>
      <c r="I78" s="2">
        <v>477.43400000000003</v>
      </c>
      <c r="J78" s="2">
        <v>285.37299999999999</v>
      </c>
      <c r="K78" s="2">
        <v>504.51600000000002</v>
      </c>
      <c r="L78" s="2">
        <v>150.80799999999999</v>
      </c>
      <c r="M78" s="2">
        <v>477.36700000000002</v>
      </c>
      <c r="N78" s="2">
        <v>210.28700000000001</v>
      </c>
      <c r="AB78" s="2">
        <f t="shared" ref="AB78:AB84" si="30">+SUM(I78:L78)</f>
        <v>1418.1310000000001</v>
      </c>
    </row>
    <row r="79" spans="2:28" s="2" customFormat="1" x14ac:dyDescent="0.2">
      <c r="B79" s="2" t="s">
        <v>88</v>
      </c>
      <c r="I79" s="2">
        <v>-1191.1279999999999</v>
      </c>
      <c r="J79" s="2">
        <v>-1321.846</v>
      </c>
      <c r="K79" s="2">
        <v>-1383.242</v>
      </c>
      <c r="L79" s="2">
        <v>-628.42999999999995</v>
      </c>
      <c r="M79" s="2">
        <v>-898.26400000000001</v>
      </c>
      <c r="N79" s="2">
        <v>-1447.818</v>
      </c>
      <c r="AB79" s="2">
        <f t="shared" si="30"/>
        <v>-4524.6460000000006</v>
      </c>
    </row>
    <row r="80" spans="2:28" s="2" customFormat="1" x14ac:dyDescent="0.2">
      <c r="B80" s="2" t="s">
        <v>4</v>
      </c>
      <c r="I80" s="2">
        <v>0</v>
      </c>
      <c r="J80" s="2">
        <v>0</v>
      </c>
      <c r="K80" s="2">
        <v>1499.0329999999999</v>
      </c>
      <c r="L80" s="2">
        <v>-671.24599999999998</v>
      </c>
      <c r="M80" s="2">
        <v>4129.2</v>
      </c>
      <c r="N80" s="2">
        <v>0</v>
      </c>
      <c r="AB80" s="2">
        <f t="shared" si="30"/>
        <v>827.78699999999992</v>
      </c>
    </row>
    <row r="81" spans="2:28" s="2" customFormat="1" x14ac:dyDescent="0.2">
      <c r="B81" s="2" t="s">
        <v>89</v>
      </c>
      <c r="I81" s="2">
        <v>-810.05600000000004</v>
      </c>
      <c r="J81" s="2">
        <v>-812.57799999999997</v>
      </c>
      <c r="K81" s="2">
        <v>-810.976</v>
      </c>
      <c r="L81" s="2">
        <v>-807.86900000000003</v>
      </c>
      <c r="M81" s="2">
        <v>-925.55799999999999</v>
      </c>
      <c r="N81" s="2">
        <v>-928.99199999999996</v>
      </c>
      <c r="AB81" s="2">
        <f t="shared" si="30"/>
        <v>-3241.4790000000003</v>
      </c>
    </row>
    <row r="82" spans="2:28" s="2" customFormat="1" x14ac:dyDescent="0.2">
      <c r="B82" s="2" t="s">
        <v>90</v>
      </c>
      <c r="I82" s="2">
        <v>-28.163</v>
      </c>
      <c r="J82" s="2">
        <v>-16.690000000000001</v>
      </c>
      <c r="K82" s="2">
        <v>-26.234999999999999</v>
      </c>
      <c r="L82" s="2">
        <v>-472.21300000000002</v>
      </c>
      <c r="M82" s="2">
        <v>-30.997</v>
      </c>
      <c r="N82" s="2">
        <v>-38.505000000000003</v>
      </c>
      <c r="AB82" s="2">
        <f t="shared" si="30"/>
        <v>-543.30100000000004</v>
      </c>
    </row>
    <row r="83" spans="2:28" s="2" customFormat="1" x14ac:dyDescent="0.2">
      <c r="B83" s="2" t="s">
        <v>91</v>
      </c>
      <c r="I83" s="2">
        <f>+SUM(I78:I82)</f>
        <v>-1551.913</v>
      </c>
      <c r="J83" s="2">
        <f>+SUM(J78:J82)</f>
        <v>-1865.741</v>
      </c>
      <c r="K83" s="2">
        <f>+SUM(K78:K82)</f>
        <v>-216.904</v>
      </c>
      <c r="L83" s="2">
        <f>+SUM(L78:L82)</f>
        <v>-2428.9500000000003</v>
      </c>
      <c r="M83" s="2">
        <f>+SUM(M78:M82)</f>
        <v>2751.748</v>
      </c>
      <c r="N83" s="2">
        <f>+SUM(N78:N82)</f>
        <v>-2205.0280000000002</v>
      </c>
      <c r="AB83" s="2">
        <f>+SUM(AB78:AB82)</f>
        <v>-6063.5080000000007</v>
      </c>
    </row>
    <row r="84" spans="2:28" s="2" customFormat="1" x14ac:dyDescent="0.2">
      <c r="B84" s="2" t="s">
        <v>92</v>
      </c>
      <c r="I84" s="2">
        <v>4.601</v>
      </c>
      <c r="J84" s="2">
        <v>-46.787999999999997</v>
      </c>
      <c r="K84" s="2">
        <v>-58.021999999999998</v>
      </c>
      <c r="L84" s="2">
        <v>53.945</v>
      </c>
      <c r="M84" s="2">
        <v>-87.123999999999995</v>
      </c>
      <c r="N84" s="2">
        <v>-56.704999999999998</v>
      </c>
      <c r="AB84" s="2">
        <f t="shared" si="30"/>
        <v>-46.264000000000003</v>
      </c>
    </row>
    <row r="85" spans="2:28" s="2" customFormat="1" x14ac:dyDescent="0.2">
      <c r="B85" s="2" t="s">
        <v>93</v>
      </c>
      <c r="I85" s="2">
        <f>+I71+I76+I83+I84</f>
        <v>-1904.1909999999998</v>
      </c>
      <c r="J85" s="2">
        <f>+J71+J76+J83+J84</f>
        <v>-2019.7339999999995</v>
      </c>
      <c r="K85" s="2">
        <f>+K71+K76+K83+K84</f>
        <v>416.11000000000007</v>
      </c>
      <c r="L85" s="2">
        <f>+L71+L76+L83+L84</f>
        <v>-532.74800000000016</v>
      </c>
      <c r="M85" s="2">
        <f>+M71+M76+M83+M84</f>
        <v>3301.5860000000007</v>
      </c>
      <c r="N85" s="2">
        <f>+N71+N76+N83+N84</f>
        <v>184.38299999999975</v>
      </c>
      <c r="AB85" s="2">
        <f>+AB71+AB76+AB83+AB84</f>
        <v>-4040.5629999999992</v>
      </c>
    </row>
    <row r="87" spans="2:28" s="5" customFormat="1" x14ac:dyDescent="0.2">
      <c r="B87" s="5" t="s">
        <v>94</v>
      </c>
      <c r="I87" s="5">
        <f>+I71+I73</f>
        <v>429.61799999999994</v>
      </c>
      <c r="J87" s="5">
        <f>+J71+J73</f>
        <v>1991.22</v>
      </c>
      <c r="K87" s="5">
        <f>+K71+K73</f>
        <v>3017.8849999999998</v>
      </c>
      <c r="L87" s="5">
        <f>+L71+L73</f>
        <v>3175.7950000000001</v>
      </c>
      <c r="M87" s="5">
        <f>+M71+M73</f>
        <v>870.28100000000029</v>
      </c>
      <c r="N87" s="5">
        <f>+N71+N73</f>
        <v>2682.5880000000002</v>
      </c>
      <c r="AB87" s="5">
        <f t="shared" ref="AB87" si="31">+SUM(I87:L87)</f>
        <v>8614.518</v>
      </c>
    </row>
    <row r="88" spans="2:28" x14ac:dyDescent="0.2">
      <c r="B88" s="2" t="s">
        <v>101</v>
      </c>
      <c r="L88" s="2">
        <f t="shared" ref="L88:M88" si="32">+SUM(I87:L87)</f>
        <v>8614.518</v>
      </c>
      <c r="M88" s="2">
        <f t="shared" si="32"/>
        <v>9055.1810000000005</v>
      </c>
      <c r="N88" s="2">
        <f>+SUM(K87:N87)</f>
        <v>9746.5490000000009</v>
      </c>
    </row>
  </sheetData>
  <phoneticPr fontId="3" type="noConversion"/>
  <hyperlinks>
    <hyperlink ref="A1" location="Main!A1" display="Main" xr:uid="{F4E1038C-15FB-4F37-AB57-0732844AB7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2025-04-26T05:27:12Z</dcterms:created>
  <dcterms:modified xsi:type="dcterms:W3CDTF">2025-04-26T07:56:38Z</dcterms:modified>
</cp:coreProperties>
</file>