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5A6D28C3-085A-4247-BC32-31F51E520737}" xr6:coauthVersionLast="47" xr6:coauthVersionMax="47" xr10:uidLastSave="{00000000-0000-0000-0000-000000000000}"/>
  <bookViews>
    <workbookView xWindow="-120" yWindow="-120" windowWidth="29040" windowHeight="15840" xr2:uid="{0FC12929-E7A8-4756-AF40-6C1DBDC0D639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2" l="1"/>
  <c r="F73" i="2"/>
  <c r="J73" i="2"/>
  <c r="F69" i="2"/>
  <c r="Y85" i="2"/>
  <c r="X85" i="2"/>
  <c r="Z85" i="2"/>
  <c r="I85" i="2"/>
  <c r="H85" i="2"/>
  <c r="E85" i="2"/>
  <c r="K40" i="2"/>
  <c r="J40" i="2"/>
  <c r="I40" i="2"/>
  <c r="H40" i="2"/>
  <c r="G40" i="2"/>
  <c r="F40" i="2"/>
  <c r="E40" i="2"/>
  <c r="D85" i="2"/>
  <c r="C85" i="2"/>
  <c r="F30" i="2"/>
  <c r="F27" i="2"/>
  <c r="F24" i="2"/>
  <c r="F23" i="2"/>
  <c r="F22" i="2"/>
  <c r="F21" i="2"/>
  <c r="F20" i="2"/>
  <c r="F19" i="2"/>
  <c r="F18" i="2"/>
  <c r="F15" i="2"/>
  <c r="F14" i="2"/>
  <c r="C25" i="2"/>
  <c r="C26" i="2" s="1"/>
  <c r="C16" i="2"/>
  <c r="C17" i="2" s="1"/>
  <c r="J30" i="2"/>
  <c r="J27" i="2"/>
  <c r="J24" i="2"/>
  <c r="J23" i="2"/>
  <c r="J22" i="2"/>
  <c r="J21" i="2"/>
  <c r="J20" i="2"/>
  <c r="J19" i="2"/>
  <c r="J18" i="2"/>
  <c r="J15" i="2"/>
  <c r="J14" i="2"/>
  <c r="E25" i="2"/>
  <c r="E26" i="2" s="1"/>
  <c r="E16" i="2"/>
  <c r="I25" i="2"/>
  <c r="I26" i="2" s="1"/>
  <c r="I16" i="2"/>
  <c r="D25" i="2"/>
  <c r="D26" i="2" s="1"/>
  <c r="D16" i="2"/>
  <c r="H25" i="2"/>
  <c r="H26" i="2" s="1"/>
  <c r="H28" i="2" s="1"/>
  <c r="H16" i="2"/>
  <c r="H17" i="2" s="1"/>
  <c r="C41" i="1"/>
  <c r="C37" i="1"/>
  <c r="C31" i="1"/>
  <c r="D30" i="1" s="1"/>
  <c r="K6" i="2"/>
  <c r="J4" i="2"/>
  <c r="K4" i="2"/>
  <c r="G77" i="2"/>
  <c r="G81" i="2" s="1"/>
  <c r="G71" i="2"/>
  <c r="G74" i="2" s="1"/>
  <c r="G68" i="2"/>
  <c r="G69" i="2" s="1"/>
  <c r="J69" i="2" s="1"/>
  <c r="K77" i="2"/>
  <c r="K81" i="2" s="1"/>
  <c r="K71" i="2"/>
  <c r="K74" i="2" s="1"/>
  <c r="K68" i="2"/>
  <c r="K69" i="2" s="1"/>
  <c r="K85" i="2" s="1"/>
  <c r="J55" i="2"/>
  <c r="J57" i="2" s="1"/>
  <c r="J59" i="2" s="1"/>
  <c r="J49" i="2"/>
  <c r="K55" i="2"/>
  <c r="K57" i="2" s="1"/>
  <c r="K59" i="2" s="1"/>
  <c r="K47" i="2"/>
  <c r="L6" i="1" s="1"/>
  <c r="K49" i="2"/>
  <c r="G25" i="2"/>
  <c r="G26" i="2" s="1"/>
  <c r="G16" i="2"/>
  <c r="K16" i="2"/>
  <c r="K17" i="2" s="1"/>
  <c r="K25" i="2"/>
  <c r="K26" i="2" s="1"/>
  <c r="AA18" i="2"/>
  <c r="AA19" i="2"/>
  <c r="AB19" i="2" s="1"/>
  <c r="AC19" i="2" s="1"/>
  <c r="AA24" i="2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A23" i="2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A21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A22" i="2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A20" i="2"/>
  <c r="AB20" i="2" s="1"/>
  <c r="AC20" i="2" s="1"/>
  <c r="O4" i="1"/>
  <c r="Z25" i="2"/>
  <c r="Z26" i="2" s="1"/>
  <c r="U25" i="2"/>
  <c r="U26" i="2" s="1"/>
  <c r="L5" i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U16" i="2"/>
  <c r="U17" i="2" s="1"/>
  <c r="V16" i="2"/>
  <c r="V17" i="2" s="1"/>
  <c r="W16" i="2"/>
  <c r="W17" i="2" s="1"/>
  <c r="X16" i="2"/>
  <c r="X17" i="2" s="1"/>
  <c r="Y16" i="2"/>
  <c r="Y17" i="2" s="1"/>
  <c r="Z16" i="2"/>
  <c r="Z17" i="2" s="1"/>
  <c r="V25" i="2"/>
  <c r="V26" i="2" s="1"/>
  <c r="W25" i="2"/>
  <c r="W26" i="2" s="1"/>
  <c r="X25" i="2"/>
  <c r="X26" i="2" s="1"/>
  <c r="X34" i="2" s="1"/>
  <c r="Y25" i="2"/>
  <c r="Y26" i="2" s="1"/>
  <c r="Y28" i="2" s="1"/>
  <c r="U36" i="2"/>
  <c r="U40" i="2"/>
  <c r="V40" i="2"/>
  <c r="W40" i="2"/>
  <c r="X40" i="2"/>
  <c r="Y40" i="2"/>
  <c r="Z40" i="2"/>
  <c r="Z47" i="2"/>
  <c r="Z49" i="2"/>
  <c r="Z55" i="2"/>
  <c r="Z43" i="2" s="1"/>
  <c r="J85" i="2" l="1"/>
  <c r="K86" i="2" s="1"/>
  <c r="J25" i="2"/>
  <c r="J26" i="2" s="1"/>
  <c r="J34" i="2" s="1"/>
  <c r="G85" i="2"/>
  <c r="J16" i="2"/>
  <c r="J17" i="2" s="1"/>
  <c r="F16" i="2"/>
  <c r="F17" i="2" s="1"/>
  <c r="F25" i="2"/>
  <c r="F26" i="2" s="1"/>
  <c r="F34" i="2" s="1"/>
  <c r="F85" i="2"/>
  <c r="L7" i="1"/>
  <c r="L8" i="1" s="1"/>
  <c r="L10" i="1" s="1"/>
  <c r="C34" i="2"/>
  <c r="C32" i="2"/>
  <c r="C28" i="2"/>
  <c r="G36" i="2"/>
  <c r="E28" i="2"/>
  <c r="E34" i="2"/>
  <c r="E32" i="2"/>
  <c r="I36" i="2"/>
  <c r="E17" i="2"/>
  <c r="I34" i="2"/>
  <c r="I32" i="2"/>
  <c r="I28" i="2"/>
  <c r="I17" i="2"/>
  <c r="D34" i="2"/>
  <c r="D32" i="2"/>
  <c r="D28" i="2"/>
  <c r="D17" i="2"/>
  <c r="H33" i="2"/>
  <c r="H29" i="2"/>
  <c r="H36" i="2"/>
  <c r="H34" i="2"/>
  <c r="H32" i="2"/>
  <c r="C42" i="1"/>
  <c r="D26" i="1"/>
  <c r="D27" i="1"/>
  <c r="D28" i="1"/>
  <c r="D29" i="1"/>
  <c r="K52" i="2"/>
  <c r="K83" i="2"/>
  <c r="K46" i="2"/>
  <c r="J52" i="2"/>
  <c r="G83" i="2"/>
  <c r="Z36" i="2"/>
  <c r="V36" i="2"/>
  <c r="W36" i="2"/>
  <c r="X36" i="2"/>
  <c r="Y36" i="2"/>
  <c r="J46" i="2"/>
  <c r="G34" i="2"/>
  <c r="G32" i="2"/>
  <c r="G28" i="2"/>
  <c r="G61" i="2" s="1"/>
  <c r="G17" i="2"/>
  <c r="K36" i="2"/>
  <c r="K34" i="2"/>
  <c r="K32" i="2"/>
  <c r="K28" i="2"/>
  <c r="K61" i="2" s="1"/>
  <c r="Z52" i="2"/>
  <c r="AA25" i="2"/>
  <c r="AA26" i="2" s="1"/>
  <c r="Z46" i="2"/>
  <c r="AC25" i="2"/>
  <c r="AD19" i="2"/>
  <c r="Z57" i="2"/>
  <c r="Z59" i="2" s="1"/>
  <c r="AB25" i="2"/>
  <c r="Z28" i="2"/>
  <c r="Z32" i="2"/>
  <c r="V28" i="2"/>
  <c r="V34" i="2"/>
  <c r="V32" i="2"/>
  <c r="W34" i="2"/>
  <c r="W32" i="2"/>
  <c r="W28" i="2"/>
  <c r="U34" i="2"/>
  <c r="U32" i="2"/>
  <c r="U28" i="2"/>
  <c r="Y29" i="2"/>
  <c r="Y33" i="2"/>
  <c r="X28" i="2"/>
  <c r="AD20" i="2"/>
  <c r="AB18" i="2"/>
  <c r="X32" i="2"/>
  <c r="Y32" i="2"/>
  <c r="Z34" i="2"/>
  <c r="Y34" i="2"/>
  <c r="AA36" i="2"/>
  <c r="J86" i="2" l="1"/>
  <c r="G86" i="2"/>
  <c r="J28" i="2"/>
  <c r="J29" i="2" s="1"/>
  <c r="J32" i="2"/>
  <c r="H86" i="2"/>
  <c r="F28" i="2"/>
  <c r="F32" i="2"/>
  <c r="I86" i="2"/>
  <c r="F86" i="2"/>
  <c r="J36" i="2"/>
  <c r="C33" i="2"/>
  <c r="C29" i="2"/>
  <c r="E33" i="2"/>
  <c r="E29" i="2"/>
  <c r="I33" i="2"/>
  <c r="I29" i="2"/>
  <c r="D33" i="2"/>
  <c r="D29" i="2"/>
  <c r="D40" i="1"/>
  <c r="D39" i="1"/>
  <c r="D38" i="1"/>
  <c r="D36" i="1"/>
  <c r="D35" i="1"/>
  <c r="D34" i="1"/>
  <c r="D37" i="1"/>
  <c r="D41" i="1"/>
  <c r="G33" i="2"/>
  <c r="G29" i="2"/>
  <c r="K33" i="2"/>
  <c r="K29" i="2"/>
  <c r="AA27" i="2"/>
  <c r="AA28" i="2" s="1"/>
  <c r="AA32" i="2"/>
  <c r="Z29" i="2"/>
  <c r="AD25" i="2"/>
  <c r="AE19" i="2"/>
  <c r="Z42" i="2"/>
  <c r="Z44" i="2" s="1"/>
  <c r="Z33" i="2"/>
  <c r="AE20" i="2"/>
  <c r="X29" i="2"/>
  <c r="X33" i="2"/>
  <c r="W29" i="2"/>
  <c r="W33" i="2"/>
  <c r="AC18" i="2"/>
  <c r="AB36" i="2"/>
  <c r="U33" i="2"/>
  <c r="U29" i="2"/>
  <c r="V29" i="2"/>
  <c r="V33" i="2"/>
  <c r="J33" i="2" l="1"/>
  <c r="F33" i="2"/>
  <c r="F29" i="2"/>
  <c r="AA29" i="2"/>
  <c r="AA34" i="2"/>
  <c r="AE25" i="2"/>
  <c r="AF19" i="2"/>
  <c r="AD18" i="2"/>
  <c r="AC36" i="2"/>
  <c r="AF20" i="2"/>
  <c r="AA33" i="2"/>
  <c r="AA46" i="2"/>
  <c r="AG19" i="2" l="1"/>
  <c r="AF25" i="2"/>
  <c r="AG20" i="2"/>
  <c r="AE18" i="2"/>
  <c r="AD36" i="2"/>
  <c r="AG25" i="2" l="1"/>
  <c r="AH19" i="2"/>
  <c r="AF18" i="2"/>
  <c r="AE36" i="2"/>
  <c r="AH20" i="2"/>
  <c r="AH25" i="2" l="1"/>
  <c r="AI19" i="2"/>
  <c r="AF36" i="2"/>
  <c r="AG18" i="2"/>
  <c r="AI20" i="2"/>
  <c r="AI25" i="2" l="1"/>
  <c r="AJ19" i="2"/>
  <c r="AJ20" i="2"/>
  <c r="AH18" i="2"/>
  <c r="AG36" i="2"/>
  <c r="AJ25" i="2" l="1"/>
  <c r="AK19" i="2"/>
  <c r="AH36" i="2"/>
  <c r="AI18" i="2"/>
  <c r="AK20" i="2"/>
  <c r="AK25" i="2" l="1"/>
  <c r="AL19" i="2"/>
  <c r="AI36" i="2"/>
  <c r="AJ18" i="2"/>
  <c r="AL20" i="2"/>
  <c r="AL25" i="2" l="1"/>
  <c r="AM19" i="2"/>
  <c r="AM20" i="2"/>
  <c r="AJ36" i="2"/>
  <c r="AK18" i="2"/>
  <c r="AM25" i="2" l="1"/>
  <c r="AN19" i="2"/>
  <c r="AK36" i="2"/>
  <c r="AL18" i="2"/>
  <c r="AN20" i="2"/>
  <c r="AN25" i="2" l="1"/>
  <c r="AO19" i="2"/>
  <c r="AO20" i="2"/>
  <c r="AL36" i="2"/>
  <c r="AM18" i="2"/>
  <c r="AO25" i="2" l="1"/>
  <c r="AP19" i="2"/>
  <c r="AM36" i="2"/>
  <c r="AN18" i="2"/>
  <c r="AP20" i="2"/>
  <c r="AP25" i="2" l="1"/>
  <c r="AO18" i="2"/>
  <c r="AN36" i="2"/>
  <c r="AP18" i="2" l="1"/>
  <c r="AO36" i="2"/>
  <c r="AP36" i="2" l="1"/>
  <c r="AB26" i="2" l="1"/>
  <c r="AB27" i="2" s="1"/>
  <c r="AB34" i="2" s="1"/>
  <c r="AB32" i="2" l="1"/>
  <c r="AB28" i="2"/>
  <c r="AB46" i="2" l="1"/>
  <c r="AB33" i="2"/>
  <c r="AC26" i="2"/>
  <c r="AD26" i="2"/>
  <c r="AD27" i="2" s="1"/>
  <c r="AD28" i="2" s="1"/>
  <c r="AE26" i="2"/>
  <c r="AE32" i="2" s="1"/>
  <c r="AF26" i="2"/>
  <c r="AF27" i="2" s="1"/>
  <c r="AG26" i="2"/>
  <c r="AG32" i="2" s="1"/>
  <c r="AH26" i="2"/>
  <c r="AH32" i="2" s="1"/>
  <c r="AI26" i="2"/>
  <c r="AI27" i="2" s="1"/>
  <c r="AI34" i="2" s="1"/>
  <c r="AJ26" i="2"/>
  <c r="AJ27" i="2" s="1"/>
  <c r="AJ34" i="2" s="1"/>
  <c r="AK26" i="2"/>
  <c r="AK27" i="2" s="1"/>
  <c r="AK34" i="2" s="1"/>
  <c r="AL26" i="2"/>
  <c r="AL27" i="2" s="1"/>
  <c r="AL34" i="2" s="1"/>
  <c r="AM26" i="2"/>
  <c r="AM27" i="2" s="1"/>
  <c r="AN26" i="2"/>
  <c r="AN27" i="2" s="1"/>
  <c r="AO26" i="2"/>
  <c r="AO27" i="2" s="1"/>
  <c r="AP26" i="2"/>
  <c r="AP27" i="2" s="1"/>
  <c r="AC27" i="2"/>
  <c r="AC34" i="2" s="1"/>
  <c r="AC32" i="2"/>
  <c r="AD32" i="2"/>
  <c r="AN32" i="2"/>
  <c r="AE27" i="2" l="1"/>
  <c r="AE34" i="2" s="1"/>
  <c r="AM32" i="2"/>
  <c r="AH27" i="2"/>
  <c r="AH34" i="2" s="1"/>
  <c r="AO32" i="2"/>
  <c r="AD34" i="2"/>
  <c r="AC28" i="2"/>
  <c r="AC46" i="2" s="1"/>
  <c r="AD46" i="2" s="1"/>
  <c r="AP32" i="2"/>
  <c r="AP28" i="2"/>
  <c r="AP33" i="2" s="1"/>
  <c r="AP34" i="2"/>
  <c r="AO34" i="2"/>
  <c r="AO28" i="2"/>
  <c r="AO33" i="2" s="1"/>
  <c r="AN34" i="2"/>
  <c r="AN28" i="2"/>
  <c r="AN33" i="2" s="1"/>
  <c r="AM34" i="2"/>
  <c r="AM28" i="2"/>
  <c r="AM33" i="2" s="1"/>
  <c r="AI28" i="2"/>
  <c r="AI33" i="2" s="1"/>
  <c r="AJ28" i="2"/>
  <c r="AJ33" i="2" s="1"/>
  <c r="AI32" i="2"/>
  <c r="AF32" i="2"/>
  <c r="AD33" i="2"/>
  <c r="AF28" i="2"/>
  <c r="AF33" i="2" s="1"/>
  <c r="AF34" i="2"/>
  <c r="AJ32" i="2"/>
  <c r="AG27" i="2"/>
  <c r="AL28" i="2"/>
  <c r="AL33" i="2" s="1"/>
  <c r="AL32" i="2"/>
  <c r="AK28" i="2"/>
  <c r="AK33" i="2" s="1"/>
  <c r="AK32" i="2"/>
  <c r="AC33" i="2" l="1"/>
  <c r="AE28" i="2"/>
  <c r="AE33" i="2" s="1"/>
  <c r="AH28" i="2"/>
  <c r="AH33" i="2" s="1"/>
  <c r="AQ28" i="2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AG34" i="2"/>
  <c r="AG28" i="2"/>
  <c r="AG33" i="2" s="1"/>
  <c r="AE46" i="2" l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S34" i="2"/>
  <c r="AS35" i="2" s="1"/>
  <c r="AS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AA18" authorId="0" shapeId="0" xr:uid="{8F5B39B1-22A4-4BCA-A27C-BB44A46B03CA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10% rev growth</t>
        </r>
      </text>
    </comment>
  </commentList>
</comments>
</file>

<file path=xl/sharedStrings.xml><?xml version="1.0" encoding="utf-8"?>
<sst xmlns="http://schemas.openxmlformats.org/spreadsheetml/2006/main" count="137" uniqueCount="109">
  <si>
    <t>L+S/E</t>
  </si>
  <si>
    <t>S/E</t>
  </si>
  <si>
    <t>Liabilties</t>
  </si>
  <si>
    <t>Other</t>
  </si>
  <si>
    <t>Debt</t>
  </si>
  <si>
    <t>A/P</t>
  </si>
  <si>
    <t>Deposits</t>
  </si>
  <si>
    <t>Assets</t>
  </si>
  <si>
    <t>PP&amp;E</t>
  </si>
  <si>
    <t>Loans</t>
  </si>
  <si>
    <t>Card receivables</t>
  </si>
  <si>
    <t>Cash</t>
  </si>
  <si>
    <t>Net cash</t>
  </si>
  <si>
    <t>ROIC</t>
  </si>
  <si>
    <t>Invested capital</t>
  </si>
  <si>
    <t>NOPAT</t>
  </si>
  <si>
    <t>Price</t>
  </si>
  <si>
    <t>FCF</t>
  </si>
  <si>
    <t>CapEx</t>
  </si>
  <si>
    <t>NPV</t>
  </si>
  <si>
    <t>CFFO</t>
  </si>
  <si>
    <t>Discount</t>
  </si>
  <si>
    <t>Terminal</t>
  </si>
  <si>
    <t>Revenue y/y</t>
  </si>
  <si>
    <t>Taxes</t>
  </si>
  <si>
    <t>Net margin</t>
  </si>
  <si>
    <t>Operating margin</t>
  </si>
  <si>
    <t>Shares</t>
  </si>
  <si>
    <t>EPS</t>
  </si>
  <si>
    <t>Net income</t>
  </si>
  <si>
    <t>Operating income</t>
  </si>
  <si>
    <t>Operating expense</t>
  </si>
  <si>
    <t>Salaries</t>
  </si>
  <si>
    <t>Marketing</t>
  </si>
  <si>
    <t>Card member services</t>
  </si>
  <si>
    <t>Business development</t>
  </si>
  <si>
    <t>Card member rewards</t>
  </si>
  <si>
    <t>Revenue ex-IntExp</t>
  </si>
  <si>
    <t>Interest Expense</t>
  </si>
  <si>
    <t>Revenue</t>
  </si>
  <si>
    <t>Interest income</t>
  </si>
  <si>
    <t>Non-interest</t>
  </si>
  <si>
    <t>Q424</t>
  </si>
  <si>
    <t>Q324</t>
  </si>
  <si>
    <t>Q224</t>
  </si>
  <si>
    <t>Q124</t>
  </si>
  <si>
    <t>Q423</t>
  </si>
  <si>
    <t>Q323</t>
  </si>
  <si>
    <t>Q223</t>
  </si>
  <si>
    <t>Q123</t>
  </si>
  <si>
    <t>EV</t>
  </si>
  <si>
    <t>MC</t>
  </si>
  <si>
    <t>Main</t>
  </si>
  <si>
    <t>Upside</t>
  </si>
  <si>
    <t>TPV</t>
  </si>
  <si>
    <t>Berkshire Hathaway share</t>
  </si>
  <si>
    <t>Q125</t>
  </si>
  <si>
    <t>Q225</t>
  </si>
  <si>
    <t>Q325</t>
  </si>
  <si>
    <t>Q425</t>
  </si>
  <si>
    <t>Model NI</t>
  </si>
  <si>
    <t>Reported NI</t>
  </si>
  <si>
    <t>Credit losses</t>
  </si>
  <si>
    <t>D&amp;A</t>
  </si>
  <si>
    <t>SBC</t>
  </si>
  <si>
    <t>DT</t>
  </si>
  <si>
    <t>WC</t>
  </si>
  <si>
    <t>Investments</t>
  </si>
  <si>
    <t>Card member receivables</t>
  </si>
  <si>
    <t>CFFI</t>
  </si>
  <si>
    <t>Issuance</t>
  </si>
  <si>
    <t>Buybacks</t>
  </si>
  <si>
    <t>Dividends</t>
  </si>
  <si>
    <t>CFFF</t>
  </si>
  <si>
    <t>FX</t>
  </si>
  <si>
    <t>CIC</t>
  </si>
  <si>
    <t>Card member loans</t>
  </si>
  <si>
    <t>Consumer</t>
  </si>
  <si>
    <t>Commercial</t>
  </si>
  <si>
    <t>International</t>
  </si>
  <si>
    <t>Corporate &amp; Other</t>
  </si>
  <si>
    <t>Merchant &amp; network services</t>
  </si>
  <si>
    <t>margin</t>
  </si>
  <si>
    <t>Products and Services</t>
  </si>
  <si>
    <t>Credit card, charge card, banking &amp; other</t>
  </si>
  <si>
    <t>Merchant &amp; Processing, Servicing &amp; Settlement, Fraud prevention and Marketing</t>
  </si>
  <si>
    <t>Travel &amp; Lifestyle</t>
  </si>
  <si>
    <t>Network</t>
  </si>
  <si>
    <t>Expense management</t>
  </si>
  <si>
    <t>Other services, Customer loyalty programs</t>
  </si>
  <si>
    <t>American Express is a bank holding company</t>
  </si>
  <si>
    <t>American Express operates like a hybrid between a payment network and a bank</t>
  </si>
  <si>
    <t>Revenues</t>
  </si>
  <si>
    <t>Segments</t>
  </si>
  <si>
    <t>Card fees</t>
  </si>
  <si>
    <t>Services &amp; Other</t>
  </si>
  <si>
    <t>Dividends on investments</t>
  </si>
  <si>
    <t>Total non-interest income</t>
  </si>
  <si>
    <t>Total revenues</t>
  </si>
  <si>
    <t xml:space="preserve">Discount </t>
  </si>
  <si>
    <t>Interest</t>
  </si>
  <si>
    <t>Card fees (Annual fees)</t>
  </si>
  <si>
    <t>Services fees &amp; Other</t>
  </si>
  <si>
    <t>Foreign exchange fees</t>
  </si>
  <si>
    <t>Late fees</t>
  </si>
  <si>
    <t>Partnership revenues</t>
  </si>
  <si>
    <t>Travel services</t>
  </si>
  <si>
    <t>Total interest income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</si>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</sst>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d/mm/yy;@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 applyAlignment="1">
      <alignment horizontal="right"/>
    </xf>
    <xf numFmtId="165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3" fontId="0" fillId="0" borderId="2" xfId="0" applyNumberFormat="1" applyBorder="1"/>
    <xf numFmtId="9" fontId="0" fillId="0" borderId="2" xfId="0" applyNumberFormat="1" applyBorder="1"/>
    <xf numFmtId="0" fontId="0" fillId="0" borderId="3" xfId="0" applyBorder="1" applyAlignment="1">
      <alignment horizontal="left" indent="1"/>
    </xf>
    <xf numFmtId="3" fontId="0" fillId="0" borderId="3" xfId="0" applyNumberFormat="1" applyBorder="1"/>
    <xf numFmtId="9" fontId="0" fillId="0" borderId="3" xfId="0" applyNumberFormat="1" applyBorder="1"/>
    <xf numFmtId="0" fontId="1" fillId="0" borderId="0" xfId="0" applyFont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9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</xdr:rowOff>
    </xdr:from>
    <xdr:to>
      <xdr:col>11</xdr:col>
      <xdr:colOff>0</xdr:colOff>
      <xdr:row>87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499E344-ED10-4845-A5D1-C8EF8AA3FD4E}"/>
            </a:ext>
          </a:extLst>
        </xdr:cNvPr>
        <xdr:cNvCxnSpPr/>
      </xdr:nvCxnSpPr>
      <xdr:spPr>
        <a:xfrm>
          <a:off x="7143750" y="19050"/>
          <a:ext cx="0" cy="14087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19050</xdr:rowOff>
    </xdr:from>
    <xdr:to>
      <xdr:col>26</xdr:col>
      <xdr:colOff>9525</xdr:colOff>
      <xdr:row>91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241288-AB89-4D0A-AFDC-0AD96612D7C8}"/>
            </a:ext>
          </a:extLst>
        </xdr:cNvPr>
        <xdr:cNvCxnSpPr/>
      </xdr:nvCxnSpPr>
      <xdr:spPr>
        <a:xfrm>
          <a:off x="14468475" y="19050"/>
          <a:ext cx="0" cy="14849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16F2-F68D-4A10-B67F-2BF1BEBF6716}">
  <dimension ref="B2:P42"/>
  <sheetViews>
    <sheetView tabSelected="1" workbookViewId="0">
      <selection activeCell="L20" sqref="L20"/>
    </sheetView>
  </sheetViews>
  <sheetFormatPr defaultRowHeight="12.75" x14ac:dyDescent="0.2"/>
  <cols>
    <col min="1" max="1" width="3.5703125" customWidth="1"/>
    <col min="2" max="2" width="25.28515625" bestFit="1" customWidth="1"/>
  </cols>
  <sheetData>
    <row r="2" spans="2:16" x14ac:dyDescent="0.2">
      <c r="B2" t="s">
        <v>90</v>
      </c>
    </row>
    <row r="3" spans="2:16" x14ac:dyDescent="0.2">
      <c r="B3" t="s">
        <v>91</v>
      </c>
      <c r="K3" t="s">
        <v>16</v>
      </c>
      <c r="L3">
        <v>251.31</v>
      </c>
    </row>
    <row r="4" spans="2:16" x14ac:dyDescent="0.2">
      <c r="K4" t="s">
        <v>27</v>
      </c>
      <c r="L4" s="1">
        <v>700.58887000000004</v>
      </c>
      <c r="M4" s="7" t="s">
        <v>56</v>
      </c>
      <c r="N4" s="1">
        <v>151.61070000000001</v>
      </c>
      <c r="O4" s="4">
        <f>+N4/L4</f>
        <v>0.21640466540668851</v>
      </c>
      <c r="P4" t="s">
        <v>55</v>
      </c>
    </row>
    <row r="5" spans="2:16" x14ac:dyDescent="0.2">
      <c r="B5" s="2" t="s">
        <v>83</v>
      </c>
      <c r="K5" t="s">
        <v>51</v>
      </c>
      <c r="L5" s="1">
        <f>+L3*L4</f>
        <v>176064.9889197</v>
      </c>
      <c r="M5" s="7"/>
    </row>
    <row r="6" spans="2:16" x14ac:dyDescent="0.2">
      <c r="B6" t="s">
        <v>84</v>
      </c>
      <c r="K6" t="s">
        <v>11</v>
      </c>
      <c r="L6" s="1">
        <f>+Model!K47</f>
        <v>53618</v>
      </c>
      <c r="M6" s="7" t="s">
        <v>56</v>
      </c>
    </row>
    <row r="7" spans="2:16" x14ac:dyDescent="0.2">
      <c r="B7" t="s">
        <v>85</v>
      </c>
      <c r="K7" t="s">
        <v>4</v>
      </c>
      <c r="L7" s="1">
        <f>+Model!K55</f>
        <v>52795</v>
      </c>
      <c r="M7" s="7" t="s">
        <v>56</v>
      </c>
    </row>
    <row r="8" spans="2:16" x14ac:dyDescent="0.2">
      <c r="B8" t="s">
        <v>87</v>
      </c>
      <c r="K8" t="s">
        <v>50</v>
      </c>
      <c r="L8" s="1">
        <f>+L5-L6+L7</f>
        <v>175241.9889197</v>
      </c>
      <c r="M8" s="7"/>
    </row>
    <row r="9" spans="2:16" x14ac:dyDescent="0.2">
      <c r="B9" t="s">
        <v>86</v>
      </c>
      <c r="L9" s="1">
        <v>10276</v>
      </c>
      <c r="M9" s="7"/>
    </row>
    <row r="10" spans="2:16" x14ac:dyDescent="0.2">
      <c r="B10" t="s">
        <v>88</v>
      </c>
      <c r="L10" s="8">
        <f>+L8/L9</f>
        <v>17.053521693236668</v>
      </c>
    </row>
    <row r="11" spans="2:16" x14ac:dyDescent="0.2">
      <c r="B11" t="s">
        <v>89</v>
      </c>
    </row>
    <row r="13" spans="2:16" x14ac:dyDescent="0.2">
      <c r="B13" s="2" t="s">
        <v>92</v>
      </c>
    </row>
    <row r="14" spans="2:16" x14ac:dyDescent="0.2">
      <c r="B14" t="s">
        <v>99</v>
      </c>
    </row>
    <row r="15" spans="2:16" x14ac:dyDescent="0.2">
      <c r="B15" t="s">
        <v>100</v>
      </c>
    </row>
    <row r="16" spans="2:16" x14ac:dyDescent="0.2">
      <c r="B16" t="s">
        <v>101</v>
      </c>
    </row>
    <row r="17" spans="2:4" x14ac:dyDescent="0.2">
      <c r="B17" t="s">
        <v>102</v>
      </c>
    </row>
    <row r="18" spans="2:4" x14ac:dyDescent="0.2">
      <c r="B18" s="12" t="s">
        <v>103</v>
      </c>
    </row>
    <row r="19" spans="2:4" x14ac:dyDescent="0.2">
      <c r="B19" s="12" t="s">
        <v>104</v>
      </c>
    </row>
    <row r="20" spans="2:4" x14ac:dyDescent="0.2">
      <c r="B20" s="12" t="s">
        <v>105</v>
      </c>
    </row>
    <row r="21" spans="2:4" x14ac:dyDescent="0.2">
      <c r="B21" s="12" t="s">
        <v>106</v>
      </c>
    </row>
    <row r="25" spans="2:4" x14ac:dyDescent="0.2">
      <c r="B25" s="2" t="s">
        <v>93</v>
      </c>
      <c r="C25" s="19" t="s">
        <v>56</v>
      </c>
      <c r="D25" s="7" t="s">
        <v>82</v>
      </c>
    </row>
    <row r="26" spans="2:4" x14ac:dyDescent="0.2">
      <c r="B26" s="1" t="s">
        <v>77</v>
      </c>
      <c r="C26" s="9">
        <v>7618</v>
      </c>
      <c r="D26" s="4">
        <f>+C26/$C$31</f>
        <v>0.48163368527533668</v>
      </c>
    </row>
    <row r="27" spans="2:4" x14ac:dyDescent="0.2">
      <c r="B27" s="1" t="s">
        <v>78</v>
      </c>
      <c r="C27" s="9">
        <v>3706</v>
      </c>
      <c r="D27" s="4">
        <f>+C27/$C$31</f>
        <v>0.23430486185749511</v>
      </c>
    </row>
    <row r="28" spans="2:4" x14ac:dyDescent="0.2">
      <c r="B28" s="1" t="s">
        <v>79</v>
      </c>
      <c r="C28" s="9">
        <v>2744</v>
      </c>
      <c r="D28" s="4">
        <f>+C28/$C$31</f>
        <v>0.17348422583296452</v>
      </c>
    </row>
    <row r="29" spans="2:4" x14ac:dyDescent="0.2">
      <c r="B29" s="1" t="s">
        <v>81</v>
      </c>
      <c r="C29" s="9">
        <v>1817</v>
      </c>
      <c r="D29" s="4">
        <f>+C29/$C$31</f>
        <v>0.11487639881140545</v>
      </c>
    </row>
    <row r="30" spans="2:4" ht="13.5" thickBot="1" x14ac:dyDescent="0.25">
      <c r="B30" s="20" t="s">
        <v>80</v>
      </c>
      <c r="C30" s="21">
        <v>-68</v>
      </c>
      <c r="D30" s="22">
        <f>+C30/$C$31</f>
        <v>-4.2991717772017449E-3</v>
      </c>
    </row>
    <row r="31" spans="2:4" ht="13.5" thickTop="1" x14ac:dyDescent="0.2">
      <c r="C31" s="1">
        <f>+SUM(C26:C30)</f>
        <v>15817</v>
      </c>
    </row>
    <row r="33" spans="2:4" x14ac:dyDescent="0.2">
      <c r="B33" s="3" t="s">
        <v>92</v>
      </c>
      <c r="C33" s="19" t="s">
        <v>56</v>
      </c>
      <c r="D33" s="7" t="s">
        <v>82</v>
      </c>
    </row>
    <row r="34" spans="2:4" x14ac:dyDescent="0.2">
      <c r="B34" s="12" t="s">
        <v>21</v>
      </c>
      <c r="C34" s="1">
        <v>8743</v>
      </c>
      <c r="D34" s="4">
        <f t="shared" ref="D34:D41" si="0">+C34/$C$42</f>
        <v>0.46178629905456081</v>
      </c>
    </row>
    <row r="35" spans="2:4" x14ac:dyDescent="0.2">
      <c r="B35" s="12" t="s">
        <v>94</v>
      </c>
      <c r="C35" s="1">
        <v>2333</v>
      </c>
      <c r="D35" s="4">
        <f t="shared" si="0"/>
        <v>0.12322400042254265</v>
      </c>
    </row>
    <row r="36" spans="2:4" x14ac:dyDescent="0.2">
      <c r="B36" s="16" t="s">
        <v>95</v>
      </c>
      <c r="C36" s="17">
        <v>1722</v>
      </c>
      <c r="D36" s="18">
        <f t="shared" si="0"/>
        <v>9.0952305498336244E-2</v>
      </c>
    </row>
    <row r="37" spans="2:4" x14ac:dyDescent="0.2">
      <c r="B37" t="s">
        <v>97</v>
      </c>
      <c r="C37" s="1">
        <f>+SUM(C34:C36)</f>
        <v>12798</v>
      </c>
      <c r="D37" s="4">
        <f t="shared" si="0"/>
        <v>0.6759626049754397</v>
      </c>
    </row>
    <row r="38" spans="2:4" x14ac:dyDescent="0.2">
      <c r="B38" s="12" t="s">
        <v>9</v>
      </c>
      <c r="C38" s="1">
        <v>5552</v>
      </c>
      <c r="D38" s="4">
        <f t="shared" si="0"/>
        <v>0.29324459937674957</v>
      </c>
    </row>
    <row r="39" spans="2:4" x14ac:dyDescent="0.2">
      <c r="B39" s="12" t="s">
        <v>96</v>
      </c>
      <c r="C39" s="1">
        <v>14</v>
      </c>
      <c r="D39" s="4">
        <f t="shared" si="0"/>
        <v>7.3944963819785555E-4</v>
      </c>
    </row>
    <row r="40" spans="2:4" x14ac:dyDescent="0.2">
      <c r="B40" s="12" t="s">
        <v>6</v>
      </c>
      <c r="C40" s="1">
        <v>569</v>
      </c>
      <c r="D40" s="4">
        <f t="shared" si="0"/>
        <v>3.0053346009612847E-2</v>
      </c>
    </row>
    <row r="41" spans="2:4" ht="13.5" thickBot="1" x14ac:dyDescent="0.25">
      <c r="B41" s="13" t="s">
        <v>107</v>
      </c>
      <c r="C41" s="14">
        <f>+SUM(C38:C40)</f>
        <v>6135</v>
      </c>
      <c r="D41" s="15">
        <f t="shared" si="0"/>
        <v>0.3240373950245603</v>
      </c>
    </row>
    <row r="42" spans="2:4" ht="13.5" thickTop="1" x14ac:dyDescent="0.2">
      <c r="B42" t="s">
        <v>98</v>
      </c>
      <c r="C42" s="1">
        <f>+C41+C37</f>
        <v>18933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1615-EDBA-48C9-9E9C-E1C8A2B8E6E4}">
  <dimension ref="A1:EM10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29" sqref="U29"/>
    </sheetView>
  </sheetViews>
  <sheetFormatPr defaultRowHeight="12.75" x14ac:dyDescent="0.2"/>
  <cols>
    <col min="1" max="1" width="5" bestFit="1" customWidth="1"/>
    <col min="2" max="2" width="19.85546875" bestFit="1" customWidth="1"/>
    <col min="6" max="6" width="9.140625" customWidth="1"/>
    <col min="7" max="7" width="9.7109375" bestFit="1" customWidth="1"/>
    <col min="26" max="26" width="9.140625" customWidth="1"/>
    <col min="45" max="45" width="9.7109375" bestFit="1" customWidth="1"/>
  </cols>
  <sheetData>
    <row r="1" spans="1:42" s="10" customFormat="1" x14ac:dyDescent="0.2">
      <c r="A1" s="10" t="s">
        <v>52</v>
      </c>
      <c r="C1" s="10">
        <v>45016</v>
      </c>
      <c r="D1" s="10">
        <v>45107</v>
      </c>
      <c r="E1" s="10">
        <v>45199</v>
      </c>
      <c r="F1" s="10">
        <v>45291</v>
      </c>
      <c r="G1" s="10">
        <v>45382</v>
      </c>
      <c r="H1" s="10">
        <v>45473</v>
      </c>
      <c r="I1" s="10">
        <v>45565</v>
      </c>
      <c r="J1" s="10">
        <v>45657</v>
      </c>
      <c r="K1" s="10">
        <v>45747</v>
      </c>
    </row>
    <row r="2" spans="1:42" x14ac:dyDescent="0.2">
      <c r="C2" s="7" t="s">
        <v>49</v>
      </c>
      <c r="D2" s="7" t="s">
        <v>48</v>
      </c>
      <c r="E2" s="7" t="s">
        <v>47</v>
      </c>
      <c r="F2" s="7" t="s">
        <v>46</v>
      </c>
      <c r="G2" s="7" t="s">
        <v>45</v>
      </c>
      <c r="H2" s="7" t="s">
        <v>44</v>
      </c>
      <c r="I2" s="7" t="s">
        <v>43</v>
      </c>
      <c r="J2" s="7" t="s">
        <v>42</v>
      </c>
      <c r="K2" s="7" t="s">
        <v>56</v>
      </c>
      <c r="L2" s="7" t="s">
        <v>57</v>
      </c>
      <c r="M2" s="7" t="s">
        <v>58</v>
      </c>
      <c r="N2" s="7" t="s">
        <v>59</v>
      </c>
      <c r="O2" s="7"/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>
        <v>2019</v>
      </c>
      <c r="V2">
        <f t="shared" ref="V2:AP2" si="0">+U2+1</f>
        <v>2020</v>
      </c>
      <c r="W2">
        <f t="shared" si="0"/>
        <v>2021</v>
      </c>
      <c r="X2">
        <f t="shared" si="0"/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  <c r="AG2">
        <f t="shared" si="0"/>
        <v>2031</v>
      </c>
      <c r="AH2">
        <f t="shared" si="0"/>
        <v>2032</v>
      </c>
      <c r="AI2">
        <f t="shared" si="0"/>
        <v>2033</v>
      </c>
      <c r="AJ2">
        <f t="shared" si="0"/>
        <v>2034</v>
      </c>
      <c r="AK2">
        <f t="shared" si="0"/>
        <v>2035</v>
      </c>
      <c r="AL2">
        <f t="shared" si="0"/>
        <v>2036</v>
      </c>
      <c r="AM2">
        <f t="shared" si="0"/>
        <v>2037</v>
      </c>
      <c r="AN2">
        <f t="shared" si="0"/>
        <v>2038</v>
      </c>
      <c r="AO2">
        <f t="shared" si="0"/>
        <v>2039</v>
      </c>
      <c r="AP2">
        <f t="shared" si="0"/>
        <v>2040</v>
      </c>
    </row>
    <row r="3" spans="1:42" s="1" customFormat="1" x14ac:dyDescent="0.2">
      <c r="B3" s="1" t="s">
        <v>54</v>
      </c>
      <c r="C3" s="9">
        <v>398.9</v>
      </c>
      <c r="D3" s="9"/>
      <c r="E3" s="9"/>
      <c r="F3" s="9">
        <v>434.4</v>
      </c>
      <c r="G3" s="9">
        <v>419.2</v>
      </c>
      <c r="H3" s="9">
        <v>440.6</v>
      </c>
      <c r="I3" s="9">
        <v>441</v>
      </c>
      <c r="J3" s="9">
        <v>464</v>
      </c>
      <c r="K3" s="9">
        <v>439.6</v>
      </c>
      <c r="L3" s="9"/>
      <c r="M3" s="9"/>
      <c r="N3" s="9"/>
      <c r="O3" s="9"/>
      <c r="P3" s="9"/>
      <c r="Q3" s="9"/>
      <c r="R3" s="9"/>
      <c r="S3" s="9"/>
      <c r="T3" s="9"/>
    </row>
    <row r="4" spans="1:42" s="4" customFormat="1" x14ac:dyDescent="0.2">
      <c r="C4" s="11"/>
      <c r="D4" s="11"/>
      <c r="E4" s="11"/>
      <c r="F4" s="11"/>
      <c r="G4" s="11"/>
      <c r="H4" s="11"/>
      <c r="I4" s="11"/>
      <c r="J4" s="11">
        <f>+J3/F3-1</f>
        <v>6.8139963167587636E-2</v>
      </c>
      <c r="K4" s="11">
        <f>+K3/G3-1</f>
        <v>4.8664122137404675E-2</v>
      </c>
      <c r="L4" s="11"/>
      <c r="M4" s="11"/>
      <c r="N4" s="11"/>
      <c r="O4" s="11"/>
      <c r="P4" s="11"/>
      <c r="Q4" s="11"/>
      <c r="R4" s="11"/>
      <c r="S4" s="11"/>
      <c r="T4" s="11"/>
    </row>
    <row r="5" spans="1:42" s="1" customFormat="1" x14ac:dyDescent="0.2">
      <c r="B5" s="1" t="s">
        <v>76</v>
      </c>
      <c r="C5" s="9">
        <v>109050</v>
      </c>
      <c r="D5" s="9"/>
      <c r="E5" s="9"/>
      <c r="F5" s="9"/>
      <c r="G5" s="9">
        <v>126619</v>
      </c>
      <c r="H5" s="9">
        <v>130851</v>
      </c>
      <c r="I5" s="9">
        <v>134548</v>
      </c>
      <c r="J5" s="9">
        <v>139674</v>
      </c>
      <c r="K5" s="9">
        <v>139203</v>
      </c>
      <c r="L5" s="9"/>
      <c r="M5" s="9"/>
      <c r="N5" s="9"/>
      <c r="O5" s="9"/>
      <c r="P5" s="9"/>
      <c r="Q5" s="9"/>
      <c r="R5" s="9"/>
      <c r="S5" s="9"/>
      <c r="T5" s="9"/>
    </row>
    <row r="6" spans="1:42" s="4" customFormat="1" x14ac:dyDescent="0.2">
      <c r="C6" s="11"/>
      <c r="D6" s="11"/>
      <c r="E6" s="11"/>
      <c r="F6" s="11"/>
      <c r="G6" s="11"/>
      <c r="H6" s="11"/>
      <c r="I6" s="11"/>
      <c r="J6" s="11"/>
      <c r="K6" s="11">
        <f>+K5/G5-1</f>
        <v>9.9384768478664398E-2</v>
      </c>
      <c r="L6" s="11"/>
      <c r="M6" s="11"/>
      <c r="N6" s="11"/>
      <c r="O6" s="11"/>
      <c r="P6" s="11"/>
      <c r="Q6" s="11"/>
      <c r="R6" s="11"/>
      <c r="S6" s="11"/>
      <c r="T6" s="11"/>
    </row>
    <row r="7" spans="1:42" s="4" customForma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42" s="1" customFormat="1" x14ac:dyDescent="0.2">
      <c r="B8" s="1" t="s">
        <v>77</v>
      </c>
      <c r="C8" s="9"/>
      <c r="D8" s="9"/>
      <c r="E8" s="9"/>
      <c r="F8" s="9"/>
      <c r="G8" s="9">
        <v>6772</v>
      </c>
      <c r="H8" s="9"/>
      <c r="I8" s="9"/>
      <c r="J8" s="9"/>
      <c r="K8" s="9">
        <v>7618</v>
      </c>
      <c r="L8" s="9"/>
      <c r="M8" s="9"/>
      <c r="N8" s="9"/>
      <c r="O8" s="9"/>
      <c r="P8" s="9"/>
      <c r="Q8" s="9"/>
      <c r="R8" s="9"/>
      <c r="S8" s="9"/>
      <c r="T8" s="9"/>
    </row>
    <row r="9" spans="1:42" s="1" customFormat="1" x14ac:dyDescent="0.2">
      <c r="B9" s="1" t="s">
        <v>78</v>
      </c>
      <c r="C9" s="9"/>
      <c r="D9" s="9"/>
      <c r="E9" s="9"/>
      <c r="F9" s="9"/>
      <c r="G9" s="9">
        <v>3430</v>
      </c>
      <c r="H9" s="9"/>
      <c r="I9" s="9"/>
      <c r="J9" s="9"/>
      <c r="K9" s="9">
        <v>3706</v>
      </c>
      <c r="L9" s="9"/>
      <c r="M9" s="9"/>
      <c r="N9" s="9"/>
      <c r="O9" s="9"/>
      <c r="P9" s="9"/>
      <c r="Q9" s="9"/>
      <c r="R9" s="9"/>
      <c r="S9" s="9"/>
      <c r="T9" s="9"/>
    </row>
    <row r="10" spans="1:42" s="1" customFormat="1" x14ac:dyDescent="0.2">
      <c r="B10" s="1" t="s">
        <v>79</v>
      </c>
      <c r="C10" s="9"/>
      <c r="D10" s="9"/>
      <c r="E10" s="9"/>
      <c r="F10" s="9"/>
      <c r="G10" s="9">
        <v>2531</v>
      </c>
      <c r="H10" s="9"/>
      <c r="I10" s="9"/>
      <c r="J10" s="9"/>
      <c r="K10" s="9">
        <v>2744</v>
      </c>
      <c r="L10" s="9"/>
      <c r="M10" s="9"/>
      <c r="N10" s="9"/>
      <c r="O10" s="9"/>
      <c r="P10" s="9"/>
      <c r="Q10" s="9"/>
      <c r="R10" s="9"/>
      <c r="S10" s="9"/>
      <c r="T10" s="9"/>
    </row>
    <row r="11" spans="1:42" s="1" customFormat="1" x14ac:dyDescent="0.2">
      <c r="B11" s="1" t="s">
        <v>81</v>
      </c>
      <c r="C11" s="9"/>
      <c r="D11" s="9"/>
      <c r="E11" s="9"/>
      <c r="F11" s="9"/>
      <c r="G11" s="9">
        <v>1864</v>
      </c>
      <c r="H11" s="9"/>
      <c r="I11" s="9"/>
      <c r="J11" s="9"/>
      <c r="K11" s="9">
        <v>1817</v>
      </c>
      <c r="L11" s="9"/>
      <c r="M11" s="9"/>
      <c r="N11" s="9"/>
      <c r="O11" s="9"/>
      <c r="P11" s="9"/>
      <c r="Q11" s="9"/>
      <c r="R11" s="9"/>
      <c r="S11" s="9"/>
      <c r="T11" s="9"/>
    </row>
    <row r="12" spans="1:42" s="1" customFormat="1" x14ac:dyDescent="0.2">
      <c r="B12" s="1" t="s">
        <v>80</v>
      </c>
      <c r="C12" s="9"/>
      <c r="D12" s="9"/>
      <c r="E12" s="9"/>
      <c r="F12" s="9"/>
      <c r="G12" s="9">
        <v>-65</v>
      </c>
      <c r="H12" s="9"/>
      <c r="I12" s="9"/>
      <c r="J12" s="9"/>
      <c r="K12" s="9">
        <v>-68</v>
      </c>
      <c r="L12" s="9"/>
      <c r="M12" s="9"/>
      <c r="N12" s="9"/>
      <c r="O12" s="9"/>
      <c r="P12" s="9"/>
      <c r="Q12" s="9"/>
      <c r="R12" s="9"/>
      <c r="S12" s="9"/>
      <c r="T12" s="9"/>
    </row>
    <row r="13" spans="1:42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42" s="1" customFormat="1" x14ac:dyDescent="0.2">
      <c r="B14" s="1" t="s">
        <v>41</v>
      </c>
      <c r="C14" s="1">
        <v>11298</v>
      </c>
      <c r="D14" s="1">
        <v>11949</v>
      </c>
      <c r="E14" s="1">
        <v>11939</v>
      </c>
      <c r="F14" s="1">
        <f>+Y14-SUM(C14:E14)</f>
        <v>12195</v>
      </c>
      <c r="G14" s="1">
        <v>12032</v>
      </c>
      <c r="H14" s="1">
        <v>12603</v>
      </c>
      <c r="I14" s="1">
        <v>12630</v>
      </c>
      <c r="J14" s="1">
        <f>+Z14-SUM(G14:I14)</f>
        <v>13141</v>
      </c>
      <c r="K14" s="1">
        <v>12798</v>
      </c>
      <c r="U14" s="1">
        <v>34936</v>
      </c>
      <c r="V14" s="1">
        <v>10083</v>
      </c>
      <c r="W14" s="1">
        <v>34630</v>
      </c>
      <c r="X14" s="1">
        <v>42967</v>
      </c>
      <c r="Y14" s="1">
        <v>47381</v>
      </c>
      <c r="Z14" s="1">
        <v>50406</v>
      </c>
    </row>
    <row r="15" spans="1:42" s="1" customFormat="1" x14ac:dyDescent="0.2">
      <c r="B15" s="1" t="s">
        <v>40</v>
      </c>
      <c r="C15" s="1">
        <v>4416</v>
      </c>
      <c r="D15" s="1">
        <v>4775</v>
      </c>
      <c r="E15" s="1">
        <v>5240</v>
      </c>
      <c r="F15" s="1">
        <f>+Y15-SUM(C15:E15)</f>
        <v>5552</v>
      </c>
      <c r="G15" s="1">
        <v>5775</v>
      </c>
      <c r="H15" s="1">
        <v>5794</v>
      </c>
      <c r="I15" s="1">
        <v>6149</v>
      </c>
      <c r="J15" s="1">
        <f>+Z15-SUM(G15:I15)</f>
        <v>6077</v>
      </c>
      <c r="K15" s="1">
        <v>6135</v>
      </c>
      <c r="U15" s="1">
        <v>12084</v>
      </c>
      <c r="V15" s="1">
        <v>36087</v>
      </c>
      <c r="W15" s="1">
        <v>9033</v>
      </c>
      <c r="X15" s="1">
        <v>12658</v>
      </c>
      <c r="Y15" s="1">
        <v>19983</v>
      </c>
      <c r="Z15" s="1">
        <v>23795</v>
      </c>
    </row>
    <row r="16" spans="1:42" s="3" customFormat="1" x14ac:dyDescent="0.2">
      <c r="B16" s="3" t="s">
        <v>39</v>
      </c>
      <c r="C16" s="3">
        <f t="shared" ref="C16:K16" si="1">+C14+C15</f>
        <v>15714</v>
      </c>
      <c r="D16" s="3">
        <f t="shared" si="1"/>
        <v>16724</v>
      </c>
      <c r="E16" s="3">
        <f t="shared" si="1"/>
        <v>17179</v>
      </c>
      <c r="F16" s="3">
        <f t="shared" si="1"/>
        <v>17747</v>
      </c>
      <c r="G16" s="3">
        <f t="shared" si="1"/>
        <v>17807</v>
      </c>
      <c r="H16" s="3">
        <f t="shared" si="1"/>
        <v>18397</v>
      </c>
      <c r="I16" s="3">
        <f t="shared" si="1"/>
        <v>18779</v>
      </c>
      <c r="J16" s="3">
        <f t="shared" si="1"/>
        <v>19218</v>
      </c>
      <c r="K16" s="3">
        <f t="shared" si="1"/>
        <v>18933</v>
      </c>
      <c r="U16" s="3">
        <f t="shared" ref="U16:Z16" si="2">+U14+U15</f>
        <v>47020</v>
      </c>
      <c r="V16" s="3">
        <f t="shared" si="2"/>
        <v>46170</v>
      </c>
      <c r="W16" s="3">
        <f t="shared" si="2"/>
        <v>43663</v>
      </c>
      <c r="X16" s="3">
        <f t="shared" si="2"/>
        <v>55625</v>
      </c>
      <c r="Y16" s="3">
        <f t="shared" si="2"/>
        <v>67364</v>
      </c>
      <c r="Z16" s="3">
        <f t="shared" si="2"/>
        <v>74201</v>
      </c>
    </row>
    <row r="17" spans="2:143" s="1" customFormat="1" x14ac:dyDescent="0.2">
      <c r="B17" s="1" t="s">
        <v>38</v>
      </c>
      <c r="C17" s="1">
        <f t="shared" ref="C17:K17" si="3">+C18-C16</f>
        <v>-2488</v>
      </c>
      <c r="D17" s="1">
        <f t="shared" si="3"/>
        <v>-2868</v>
      </c>
      <c r="E17" s="1">
        <f t="shared" si="3"/>
        <v>-3031</v>
      </c>
      <c r="F17" s="1">
        <f t="shared" si="3"/>
        <v>-3385</v>
      </c>
      <c r="G17" s="1">
        <f t="shared" si="3"/>
        <v>-3275</v>
      </c>
      <c r="H17" s="1">
        <f t="shared" si="3"/>
        <v>-3332</v>
      </c>
      <c r="I17" s="1">
        <f t="shared" si="3"/>
        <v>-3499</v>
      </c>
      <c r="J17" s="1">
        <f t="shared" si="3"/>
        <v>-3331</v>
      </c>
      <c r="K17" s="1">
        <f t="shared" si="3"/>
        <v>-3116</v>
      </c>
      <c r="U17" s="1">
        <f t="shared" ref="U17:Z17" si="4">+U18-U16</f>
        <v>-7037</v>
      </c>
      <c r="V17" s="1">
        <f t="shared" si="4"/>
        <v>-14813</v>
      </c>
      <c r="W17" s="1">
        <f t="shared" si="4"/>
        <v>136</v>
      </c>
      <c r="X17" s="1">
        <f t="shared" si="4"/>
        <v>-4945</v>
      </c>
      <c r="Y17" s="1">
        <f t="shared" si="4"/>
        <v>-11772</v>
      </c>
      <c r="Z17" s="1">
        <f t="shared" si="4"/>
        <v>-13437</v>
      </c>
    </row>
    <row r="18" spans="2:143" s="3" customFormat="1" x14ac:dyDescent="0.2">
      <c r="B18" s="3" t="s">
        <v>37</v>
      </c>
      <c r="C18" s="3">
        <v>13226</v>
      </c>
      <c r="D18" s="3">
        <v>13856</v>
      </c>
      <c r="E18" s="3">
        <v>14148</v>
      </c>
      <c r="F18" s="3">
        <f>+Y18-SUM(C18:E18)</f>
        <v>14362</v>
      </c>
      <c r="G18" s="3">
        <v>14532</v>
      </c>
      <c r="H18" s="3">
        <v>15065</v>
      </c>
      <c r="I18" s="3">
        <v>15280</v>
      </c>
      <c r="J18" s="3">
        <f>+Z18-SUM(G18:I18)</f>
        <v>15887</v>
      </c>
      <c r="K18" s="3">
        <v>15817</v>
      </c>
      <c r="U18" s="3">
        <v>39983</v>
      </c>
      <c r="V18" s="3">
        <v>31357</v>
      </c>
      <c r="W18" s="3">
        <v>43799</v>
      </c>
      <c r="X18" s="3">
        <v>50680</v>
      </c>
      <c r="Y18" s="3">
        <v>55592</v>
      </c>
      <c r="Z18" s="3">
        <v>60764</v>
      </c>
      <c r="AA18" s="3">
        <f>+Z18*1.07</f>
        <v>65017.48</v>
      </c>
      <c r="AB18" s="3">
        <f t="shared" ref="AB18:AP18" si="5">+AA18*1.07</f>
        <v>69568.703600000008</v>
      </c>
      <c r="AC18" s="3">
        <f t="shared" si="5"/>
        <v>74438.512852000014</v>
      </c>
      <c r="AD18" s="3">
        <f t="shared" si="5"/>
        <v>79649.208751640021</v>
      </c>
      <c r="AE18" s="3">
        <f t="shared" si="5"/>
        <v>85224.653364254831</v>
      </c>
      <c r="AF18" s="3">
        <f t="shared" si="5"/>
        <v>91190.379099752681</v>
      </c>
      <c r="AG18" s="3">
        <f t="shared" si="5"/>
        <v>97573.70563673538</v>
      </c>
      <c r="AH18" s="3">
        <f t="shared" si="5"/>
        <v>104403.86503130686</v>
      </c>
      <c r="AI18" s="3">
        <f t="shared" si="5"/>
        <v>111712.13558349836</v>
      </c>
      <c r="AJ18" s="3">
        <f t="shared" si="5"/>
        <v>119531.98507434325</v>
      </c>
      <c r="AK18" s="3">
        <f t="shared" si="5"/>
        <v>127899.22402954729</v>
      </c>
      <c r="AL18" s="3">
        <f t="shared" si="5"/>
        <v>136852.1697116156</v>
      </c>
      <c r="AM18" s="3">
        <f t="shared" si="5"/>
        <v>146431.82159142871</v>
      </c>
      <c r="AN18" s="3">
        <f t="shared" si="5"/>
        <v>156682.04910282872</v>
      </c>
      <c r="AO18" s="3">
        <f t="shared" si="5"/>
        <v>167649.79254002674</v>
      </c>
      <c r="AP18" s="3">
        <f t="shared" si="5"/>
        <v>179385.27801782862</v>
      </c>
    </row>
    <row r="19" spans="2:143" s="1" customFormat="1" x14ac:dyDescent="0.2">
      <c r="B19" s="1" t="s">
        <v>36</v>
      </c>
      <c r="C19" s="1">
        <v>3766</v>
      </c>
      <c r="D19" s="1">
        <v>3956</v>
      </c>
      <c r="E19" s="1">
        <v>3794</v>
      </c>
      <c r="F19" s="1">
        <f>+Y19-SUM(C19:E19)</f>
        <v>3851</v>
      </c>
      <c r="G19" s="1">
        <v>3774</v>
      </c>
      <c r="H19" s="1">
        <v>4227</v>
      </c>
      <c r="I19" s="1">
        <v>4168</v>
      </c>
      <c r="J19" s="1">
        <f>+Z19-SUM(G19:I19)</f>
        <v>4430</v>
      </c>
      <c r="K19" s="1">
        <v>4378</v>
      </c>
      <c r="U19" s="1">
        <v>10439</v>
      </c>
      <c r="V19" s="1">
        <v>8041</v>
      </c>
      <c r="W19" s="1">
        <v>11007</v>
      </c>
      <c r="X19" s="1">
        <v>14002</v>
      </c>
      <c r="Y19" s="1">
        <v>15367</v>
      </c>
      <c r="Z19" s="1">
        <v>16599</v>
      </c>
      <c r="AA19" s="1">
        <f>+Z19*1.08</f>
        <v>17926.920000000002</v>
      </c>
      <c r="AB19" s="1">
        <f t="shared" ref="AB19:AP19" si="6">+AA19*1.08</f>
        <v>19361.073600000003</v>
      </c>
      <c r="AC19" s="1">
        <f t="shared" si="6"/>
        <v>20909.959488000004</v>
      </c>
      <c r="AD19" s="1">
        <f t="shared" si="6"/>
        <v>22582.756247040004</v>
      </c>
      <c r="AE19" s="1">
        <f t="shared" si="6"/>
        <v>24389.376746803206</v>
      </c>
      <c r="AF19" s="1">
        <f t="shared" si="6"/>
        <v>26340.526886547465</v>
      </c>
      <c r="AG19" s="1">
        <f t="shared" si="6"/>
        <v>28447.769037471262</v>
      </c>
      <c r="AH19" s="1">
        <f t="shared" si="6"/>
        <v>30723.590560468965</v>
      </c>
      <c r="AI19" s="1">
        <f t="shared" si="6"/>
        <v>33181.477805306487</v>
      </c>
      <c r="AJ19" s="1">
        <f t="shared" si="6"/>
        <v>35835.99602973101</v>
      </c>
      <c r="AK19" s="1">
        <f t="shared" si="6"/>
        <v>38702.875712109497</v>
      </c>
      <c r="AL19" s="1">
        <f t="shared" si="6"/>
        <v>41799.105769078262</v>
      </c>
      <c r="AM19" s="1">
        <f t="shared" si="6"/>
        <v>45143.034230604528</v>
      </c>
      <c r="AN19" s="1">
        <f t="shared" si="6"/>
        <v>48754.476969052892</v>
      </c>
      <c r="AO19" s="1">
        <f t="shared" si="6"/>
        <v>52654.835126577127</v>
      </c>
      <c r="AP19" s="1">
        <f t="shared" si="6"/>
        <v>56867.221936703303</v>
      </c>
    </row>
    <row r="20" spans="2:143" s="1" customFormat="1" x14ac:dyDescent="0.2">
      <c r="B20" s="1" t="s">
        <v>35</v>
      </c>
      <c r="C20" s="1">
        <v>1393</v>
      </c>
      <c r="D20" s="1">
        <v>1388</v>
      </c>
      <c r="E20" s="1">
        <v>1393</v>
      </c>
      <c r="F20" s="1">
        <f>+Y20-SUM(C20:E20)</f>
        <v>483</v>
      </c>
      <c r="G20" s="1">
        <v>1392</v>
      </c>
      <c r="H20" s="1">
        <v>1427</v>
      </c>
      <c r="I20" s="1">
        <v>1430</v>
      </c>
      <c r="J20" s="1">
        <f>+Z20-SUM(G20:I20)</f>
        <v>1637</v>
      </c>
      <c r="K20" s="1">
        <v>1529</v>
      </c>
      <c r="U20" s="1">
        <v>7125</v>
      </c>
      <c r="V20" s="1">
        <v>6747</v>
      </c>
      <c r="W20" s="1">
        <v>9053</v>
      </c>
      <c r="X20" s="1">
        <v>4943</v>
      </c>
      <c r="Y20" s="1">
        <v>4657</v>
      </c>
      <c r="Z20" s="1">
        <v>5886</v>
      </c>
      <c r="AA20" s="1">
        <f>+Z20*1.04</f>
        <v>6121.4400000000005</v>
      </c>
      <c r="AB20" s="1">
        <f t="shared" ref="AB20:AP20" si="7">+AA20*1.03</f>
        <v>6305.0832000000009</v>
      </c>
      <c r="AC20" s="1">
        <f t="shared" si="7"/>
        <v>6494.2356960000016</v>
      </c>
      <c r="AD20" s="1">
        <f t="shared" si="7"/>
        <v>6689.0627668800016</v>
      </c>
      <c r="AE20" s="1">
        <f t="shared" si="7"/>
        <v>6889.7346498864017</v>
      </c>
      <c r="AF20" s="1">
        <f t="shared" si="7"/>
        <v>7096.4266893829936</v>
      </c>
      <c r="AG20" s="1">
        <f t="shared" si="7"/>
        <v>7309.3194900644839</v>
      </c>
      <c r="AH20" s="1">
        <f t="shared" si="7"/>
        <v>7528.5990747664191</v>
      </c>
      <c r="AI20" s="1">
        <f t="shared" si="7"/>
        <v>7754.4570470094122</v>
      </c>
      <c r="AJ20" s="1">
        <f t="shared" si="7"/>
        <v>7987.0907584196948</v>
      </c>
      <c r="AK20" s="1">
        <f t="shared" si="7"/>
        <v>8226.703481172286</v>
      </c>
      <c r="AL20" s="1">
        <f t="shared" si="7"/>
        <v>8473.5045856074557</v>
      </c>
      <c r="AM20" s="1">
        <f t="shared" si="7"/>
        <v>8727.7097231756798</v>
      </c>
      <c r="AN20" s="1">
        <f t="shared" si="7"/>
        <v>8989.5410148709507</v>
      </c>
      <c r="AO20" s="1">
        <f t="shared" si="7"/>
        <v>9259.227245317079</v>
      </c>
      <c r="AP20" s="1">
        <f t="shared" si="7"/>
        <v>9537.0040626765913</v>
      </c>
    </row>
    <row r="21" spans="2:143" s="1" customFormat="1" x14ac:dyDescent="0.2">
      <c r="B21" s="1" t="s">
        <v>34</v>
      </c>
      <c r="C21" s="1">
        <v>983</v>
      </c>
      <c r="D21" s="1">
        <v>949</v>
      </c>
      <c r="E21" s="1">
        <v>973</v>
      </c>
      <c r="F21" s="1">
        <f>+Y21-SUM(C21:E21)</f>
        <v>1063</v>
      </c>
      <c r="G21" s="1">
        <v>1171</v>
      </c>
      <c r="H21" s="1">
        <v>1154</v>
      </c>
      <c r="I21" s="1">
        <v>1179</v>
      </c>
      <c r="J21" s="1">
        <f>+Z21-SUM(G21:I21)</f>
        <v>1278</v>
      </c>
      <c r="K21" s="1">
        <v>1328</v>
      </c>
      <c r="U21" s="1">
        <v>2223</v>
      </c>
      <c r="V21" s="1">
        <v>1230</v>
      </c>
      <c r="W21" s="1">
        <v>1993</v>
      </c>
      <c r="X21" s="1">
        <v>2959</v>
      </c>
      <c r="Y21" s="1">
        <v>3968</v>
      </c>
      <c r="Z21" s="1">
        <v>4782</v>
      </c>
      <c r="AA21" s="1">
        <f>+Z21*1.14</f>
        <v>5451.48</v>
      </c>
      <c r="AB21" s="1">
        <f t="shared" ref="AB21:AP21" si="8">+AA21*1.12</f>
        <v>6105.6576000000005</v>
      </c>
      <c r="AC21" s="1">
        <f t="shared" si="8"/>
        <v>6838.3365120000008</v>
      </c>
      <c r="AD21" s="1">
        <f t="shared" si="8"/>
        <v>7658.9368934400018</v>
      </c>
      <c r="AE21" s="1">
        <f t="shared" si="8"/>
        <v>8578.0093206528036</v>
      </c>
      <c r="AF21" s="1">
        <f t="shared" si="8"/>
        <v>9607.3704391311403</v>
      </c>
      <c r="AG21" s="1">
        <f t="shared" si="8"/>
        <v>10760.254891826879</v>
      </c>
      <c r="AH21" s="1">
        <f t="shared" si="8"/>
        <v>12051.485478846105</v>
      </c>
      <c r="AI21" s="1">
        <f t="shared" si="8"/>
        <v>13497.663736307639</v>
      </c>
      <c r="AJ21" s="1">
        <f t="shared" si="8"/>
        <v>15117.383384664558</v>
      </c>
      <c r="AK21" s="1">
        <f t="shared" si="8"/>
        <v>16931.469390824306</v>
      </c>
      <c r="AL21" s="1">
        <f t="shared" si="8"/>
        <v>18963.245717723225</v>
      </c>
      <c r="AM21" s="1">
        <f t="shared" si="8"/>
        <v>21238.835203850012</v>
      </c>
      <c r="AN21" s="1">
        <f t="shared" si="8"/>
        <v>23787.495428312017</v>
      </c>
      <c r="AO21" s="1">
        <f t="shared" si="8"/>
        <v>26641.994879709462</v>
      </c>
      <c r="AP21" s="1">
        <f t="shared" si="8"/>
        <v>29839.0342652746</v>
      </c>
    </row>
    <row r="22" spans="2:143" s="1" customFormat="1" x14ac:dyDescent="0.2">
      <c r="B22" s="1" t="s">
        <v>33</v>
      </c>
      <c r="C22" s="1">
        <v>1341</v>
      </c>
      <c r="D22" s="1">
        <v>1408</v>
      </c>
      <c r="E22" s="1">
        <v>1236</v>
      </c>
      <c r="F22" s="1">
        <f>+Y22-SUM(C22:E22)</f>
        <v>1228</v>
      </c>
      <c r="G22" s="1">
        <v>1476</v>
      </c>
      <c r="H22" s="1">
        <v>1480</v>
      </c>
      <c r="I22" s="1">
        <v>1470</v>
      </c>
      <c r="J22" s="1">
        <f>+Z22-SUM(G22:I22)</f>
        <v>1614</v>
      </c>
      <c r="K22" s="1">
        <v>1486</v>
      </c>
      <c r="U22" s="1">
        <v>0</v>
      </c>
      <c r="V22" s="1">
        <v>0</v>
      </c>
      <c r="W22" s="1">
        <v>0</v>
      </c>
      <c r="X22" s="1">
        <v>5458</v>
      </c>
      <c r="Y22" s="1">
        <v>5213</v>
      </c>
      <c r="Z22" s="1">
        <v>6040</v>
      </c>
      <c r="AA22" s="1">
        <f>+Z22*1.03</f>
        <v>6221.2</v>
      </c>
      <c r="AB22" s="1">
        <f t="shared" ref="AB22:AP22" si="9">+AA22*1.02</f>
        <v>6345.6239999999998</v>
      </c>
      <c r="AC22" s="1">
        <f t="shared" si="9"/>
        <v>6472.5364799999998</v>
      </c>
      <c r="AD22" s="1">
        <f t="shared" si="9"/>
        <v>6601.9872095999999</v>
      </c>
      <c r="AE22" s="1">
        <f t="shared" si="9"/>
        <v>6734.0269537920003</v>
      </c>
      <c r="AF22" s="1">
        <f t="shared" si="9"/>
        <v>6868.7074928678403</v>
      </c>
      <c r="AG22" s="1">
        <f t="shared" si="9"/>
        <v>7006.0816427251975</v>
      </c>
      <c r="AH22" s="1">
        <f t="shared" si="9"/>
        <v>7146.2032755797018</v>
      </c>
      <c r="AI22" s="1">
        <f t="shared" si="9"/>
        <v>7289.1273410912963</v>
      </c>
      <c r="AJ22" s="1">
        <f t="shared" si="9"/>
        <v>7434.9098879131225</v>
      </c>
      <c r="AK22" s="1">
        <f t="shared" si="9"/>
        <v>7583.6080856713852</v>
      </c>
      <c r="AL22" s="1">
        <f t="shared" si="9"/>
        <v>7735.2802473848133</v>
      </c>
      <c r="AM22" s="1">
        <f t="shared" si="9"/>
        <v>7889.9858523325092</v>
      </c>
      <c r="AN22" s="1">
        <f t="shared" si="9"/>
        <v>8047.7855693791598</v>
      </c>
      <c r="AO22" s="1">
        <f t="shared" si="9"/>
        <v>8208.7412807667424</v>
      </c>
      <c r="AP22" s="1">
        <f t="shared" si="9"/>
        <v>8372.9161063820775</v>
      </c>
    </row>
    <row r="23" spans="2:143" s="1" customFormat="1" x14ac:dyDescent="0.2">
      <c r="B23" s="1" t="s">
        <v>32</v>
      </c>
      <c r="C23" s="1">
        <v>2014</v>
      </c>
      <c r="D23" s="1">
        <v>1875</v>
      </c>
      <c r="E23" s="1">
        <v>2047</v>
      </c>
      <c r="F23" s="1">
        <f>+Y23-SUM(C23:E23)</f>
        <v>2131</v>
      </c>
      <c r="G23" s="1">
        <v>2098</v>
      </c>
      <c r="H23" s="1">
        <v>1949</v>
      </c>
      <c r="I23" s="1">
        <v>2049</v>
      </c>
      <c r="J23" s="1">
        <f>+Z23-SUM(G23:I23)</f>
        <v>2102</v>
      </c>
      <c r="K23" s="1">
        <v>2120</v>
      </c>
      <c r="U23" s="1">
        <v>5911</v>
      </c>
      <c r="V23" s="1">
        <v>5718</v>
      </c>
      <c r="W23" s="1">
        <v>6240</v>
      </c>
      <c r="X23" s="1">
        <v>7252</v>
      </c>
      <c r="Y23" s="1">
        <v>8067</v>
      </c>
      <c r="Z23" s="1">
        <v>8198</v>
      </c>
      <c r="AA23" s="1">
        <f>+Z23*1.06</f>
        <v>8689.880000000001</v>
      </c>
      <c r="AB23" s="1">
        <f t="shared" ref="AB23:AP23" si="10">+AA23*1.05</f>
        <v>9124.3740000000016</v>
      </c>
      <c r="AC23" s="1">
        <f t="shared" si="10"/>
        <v>9580.5927000000029</v>
      </c>
      <c r="AD23" s="1">
        <f t="shared" si="10"/>
        <v>10059.622335000004</v>
      </c>
      <c r="AE23" s="1">
        <f t="shared" si="10"/>
        <v>10562.603451750005</v>
      </c>
      <c r="AF23" s="1">
        <f t="shared" si="10"/>
        <v>11090.733624337505</v>
      </c>
      <c r="AG23" s="1">
        <f t="shared" si="10"/>
        <v>11645.270305554381</v>
      </c>
      <c r="AH23" s="1">
        <f t="shared" si="10"/>
        <v>12227.533820832101</v>
      </c>
      <c r="AI23" s="1">
        <f t="shared" si="10"/>
        <v>12838.910511873706</v>
      </c>
      <c r="AJ23" s="1">
        <f t="shared" si="10"/>
        <v>13480.856037467393</v>
      </c>
      <c r="AK23" s="1">
        <f t="shared" si="10"/>
        <v>14154.898839340764</v>
      </c>
      <c r="AL23" s="1">
        <f t="shared" si="10"/>
        <v>14862.643781307803</v>
      </c>
      <c r="AM23" s="1">
        <f t="shared" si="10"/>
        <v>15605.775970373194</v>
      </c>
      <c r="AN23" s="1">
        <f t="shared" si="10"/>
        <v>16386.064768891854</v>
      </c>
      <c r="AO23" s="1">
        <f t="shared" si="10"/>
        <v>17205.368007336448</v>
      </c>
      <c r="AP23" s="1">
        <f t="shared" si="10"/>
        <v>18065.63640770327</v>
      </c>
    </row>
    <row r="24" spans="2:143" s="1" customFormat="1" x14ac:dyDescent="0.2">
      <c r="B24" s="1" t="s">
        <v>3</v>
      </c>
      <c r="C24" s="1">
        <v>1562</v>
      </c>
      <c r="D24" s="1">
        <v>1546</v>
      </c>
      <c r="E24" s="1">
        <v>1605</v>
      </c>
      <c r="F24" s="1">
        <f>+Y24-SUM(C24:E24)</f>
        <v>2094</v>
      </c>
      <c r="G24" s="1">
        <v>1476</v>
      </c>
      <c r="H24" s="1">
        <v>1038</v>
      </c>
      <c r="I24" s="1">
        <v>1780</v>
      </c>
      <c r="J24" s="1">
        <f>+Z24-SUM(G24:I24)</f>
        <v>2070</v>
      </c>
      <c r="K24" s="1">
        <v>1646</v>
      </c>
      <c r="U24" s="1">
        <v>5856</v>
      </c>
      <c r="V24" s="1">
        <v>5325</v>
      </c>
      <c r="W24" s="1">
        <v>4817</v>
      </c>
      <c r="X24" s="1">
        <v>6481</v>
      </c>
      <c r="Y24" s="1">
        <v>6807</v>
      </c>
      <c r="Z24" s="1">
        <v>6364</v>
      </c>
      <c r="AA24" s="1">
        <f>+Z24*1.01</f>
        <v>6427.64</v>
      </c>
      <c r="AB24" s="1">
        <f t="shared" ref="AB24:AP24" si="11">+AA24*1.01</f>
        <v>6491.9164000000001</v>
      </c>
      <c r="AC24" s="1">
        <f t="shared" si="11"/>
        <v>6556.835564</v>
      </c>
      <c r="AD24" s="1">
        <f t="shared" si="11"/>
        <v>6622.4039196399999</v>
      </c>
      <c r="AE24" s="1">
        <f t="shared" si="11"/>
        <v>6688.6279588363996</v>
      </c>
      <c r="AF24" s="1">
        <f t="shared" si="11"/>
        <v>6755.5142384247638</v>
      </c>
      <c r="AG24" s="1">
        <f t="shared" si="11"/>
        <v>6823.0693808090118</v>
      </c>
      <c r="AH24" s="1">
        <f t="shared" si="11"/>
        <v>6891.3000746171019</v>
      </c>
      <c r="AI24" s="1">
        <f t="shared" si="11"/>
        <v>6960.2130753632728</v>
      </c>
      <c r="AJ24" s="1">
        <f t="shared" si="11"/>
        <v>7029.8152061169058</v>
      </c>
      <c r="AK24" s="1">
        <f t="shared" si="11"/>
        <v>7100.113358178075</v>
      </c>
      <c r="AL24" s="1">
        <f t="shared" si="11"/>
        <v>7171.1144917598558</v>
      </c>
      <c r="AM24" s="1">
        <f t="shared" si="11"/>
        <v>7242.825636677454</v>
      </c>
      <c r="AN24" s="1">
        <f t="shared" si="11"/>
        <v>7315.2538930442288</v>
      </c>
      <c r="AO24" s="1">
        <f t="shared" si="11"/>
        <v>7388.4064319746712</v>
      </c>
      <c r="AP24" s="1">
        <f t="shared" si="11"/>
        <v>7462.2904962944176</v>
      </c>
    </row>
    <row r="25" spans="2:143" s="1" customFormat="1" x14ac:dyDescent="0.2">
      <c r="B25" s="1" t="s">
        <v>31</v>
      </c>
      <c r="C25" s="1">
        <f t="shared" ref="C25:K25" si="12">+SUM(C19:C24)</f>
        <v>11059</v>
      </c>
      <c r="D25" s="1">
        <f t="shared" si="12"/>
        <v>11122</v>
      </c>
      <c r="E25" s="1">
        <f t="shared" si="12"/>
        <v>11048</v>
      </c>
      <c r="F25" s="1">
        <f t="shared" si="12"/>
        <v>10850</v>
      </c>
      <c r="G25" s="1">
        <f t="shared" si="12"/>
        <v>11387</v>
      </c>
      <c r="H25" s="1">
        <f t="shared" si="12"/>
        <v>11275</v>
      </c>
      <c r="I25" s="1">
        <f t="shared" si="12"/>
        <v>12076</v>
      </c>
      <c r="J25" s="1">
        <f t="shared" si="12"/>
        <v>13131</v>
      </c>
      <c r="K25" s="1">
        <f t="shared" si="12"/>
        <v>12487</v>
      </c>
      <c r="U25" s="1">
        <f>+SUM(U19:U24)</f>
        <v>31554</v>
      </c>
      <c r="V25" s="1">
        <f t="shared" ref="V25:Y25" si="13">+SUM(V19:V24)</f>
        <v>27061</v>
      </c>
      <c r="W25" s="1">
        <f t="shared" si="13"/>
        <v>33110</v>
      </c>
      <c r="X25" s="1">
        <f t="shared" si="13"/>
        <v>41095</v>
      </c>
      <c r="Y25" s="1">
        <f t="shared" si="13"/>
        <v>44079</v>
      </c>
      <c r="Z25" s="1">
        <f>+SUM(Z19:Z24)</f>
        <v>47869</v>
      </c>
      <c r="AA25" s="1">
        <f t="shared" ref="AA25:AP25" si="14">+SUM(AA19:AA24)</f>
        <v>50838.559999999998</v>
      </c>
      <c r="AB25" s="1">
        <f t="shared" si="14"/>
        <v>53733.728800000004</v>
      </c>
      <c r="AC25" s="1">
        <f t="shared" si="14"/>
        <v>56852.49644000001</v>
      </c>
      <c r="AD25" s="1">
        <f t="shared" si="14"/>
        <v>60214.769371600007</v>
      </c>
      <c r="AE25" s="1">
        <f t="shared" si="14"/>
        <v>63842.379081720821</v>
      </c>
      <c r="AF25" s="1">
        <f t="shared" si="14"/>
        <v>67759.2793706917</v>
      </c>
      <c r="AG25" s="1">
        <f t="shared" si="14"/>
        <v>71991.764748451213</v>
      </c>
      <c r="AH25" s="1">
        <f t="shared" si="14"/>
        <v>76568.712285110392</v>
      </c>
      <c r="AI25" s="1">
        <f t="shared" si="14"/>
        <v>81521.849516951814</v>
      </c>
      <c r="AJ25" s="1">
        <f t="shared" si="14"/>
        <v>86886.051304312699</v>
      </c>
      <c r="AK25" s="1">
        <f t="shared" si="14"/>
        <v>92699.668867296306</v>
      </c>
      <c r="AL25" s="1">
        <f t="shared" si="14"/>
        <v>99004.894592861427</v>
      </c>
      <c r="AM25" s="1">
        <f t="shared" si="14"/>
        <v>105848.16661701338</v>
      </c>
      <c r="AN25" s="1">
        <f t="shared" si="14"/>
        <v>113280.6176435511</v>
      </c>
      <c r="AO25" s="1">
        <f t="shared" si="14"/>
        <v>121358.57297168153</v>
      </c>
      <c r="AP25" s="1">
        <f t="shared" si="14"/>
        <v>130144.10327503426</v>
      </c>
    </row>
    <row r="26" spans="2:143" s="3" customFormat="1" x14ac:dyDescent="0.2">
      <c r="B26" s="3" t="s">
        <v>30</v>
      </c>
      <c r="C26" s="3">
        <f t="shared" ref="C26" si="15">+C18-C25</f>
        <v>2167</v>
      </c>
      <c r="D26" s="3">
        <f t="shared" ref="D26:E26" si="16">+D18-D25</f>
        <v>2734</v>
      </c>
      <c r="E26" s="3">
        <f t="shared" si="16"/>
        <v>3100</v>
      </c>
      <c r="F26" s="3">
        <f t="shared" ref="F26" si="17">+F18-F25</f>
        <v>3512</v>
      </c>
      <c r="G26" s="3">
        <f t="shared" ref="G26:H26" si="18">+G18-G25</f>
        <v>3145</v>
      </c>
      <c r="H26" s="3">
        <f t="shared" si="18"/>
        <v>3790</v>
      </c>
      <c r="I26" s="3">
        <f t="shared" ref="I26:J26" si="19">+I18-I25</f>
        <v>3204</v>
      </c>
      <c r="J26" s="3">
        <f t="shared" si="19"/>
        <v>2756</v>
      </c>
      <c r="K26" s="3">
        <f t="shared" ref="K26" si="20">+K18-K25</f>
        <v>3330</v>
      </c>
      <c r="U26" s="3">
        <f t="shared" ref="U26:AP26" si="21">+U18-U25</f>
        <v>8429</v>
      </c>
      <c r="V26" s="3">
        <f t="shared" si="21"/>
        <v>4296</v>
      </c>
      <c r="W26" s="3">
        <f t="shared" si="21"/>
        <v>10689</v>
      </c>
      <c r="X26" s="3">
        <f t="shared" si="21"/>
        <v>9585</v>
      </c>
      <c r="Y26" s="3">
        <f t="shared" si="21"/>
        <v>11513</v>
      </c>
      <c r="Z26" s="3">
        <f t="shared" si="21"/>
        <v>12895</v>
      </c>
      <c r="AA26" s="3">
        <f t="shared" si="21"/>
        <v>14178.920000000006</v>
      </c>
      <c r="AB26" s="3">
        <f>+AB18-AB25</f>
        <v>15834.974800000004</v>
      </c>
      <c r="AC26" s="3">
        <f t="shared" si="21"/>
        <v>17586.016412000004</v>
      </c>
      <c r="AD26" s="3">
        <f t="shared" si="21"/>
        <v>19434.439380040014</v>
      </c>
      <c r="AE26" s="3">
        <f t="shared" si="21"/>
        <v>21382.27428253401</v>
      </c>
      <c r="AF26" s="3">
        <f t="shared" si="21"/>
        <v>23431.099729060981</v>
      </c>
      <c r="AG26" s="3">
        <f t="shared" si="21"/>
        <v>25581.940888284167</v>
      </c>
      <c r="AH26" s="3">
        <f t="shared" si="21"/>
        <v>27835.152746196472</v>
      </c>
      <c r="AI26" s="3">
        <f t="shared" si="21"/>
        <v>30190.286066546541</v>
      </c>
      <c r="AJ26" s="3">
        <f t="shared" si="21"/>
        <v>32645.933770030548</v>
      </c>
      <c r="AK26" s="3">
        <f t="shared" si="21"/>
        <v>35199.555162250981</v>
      </c>
      <c r="AL26" s="3">
        <f t="shared" si="21"/>
        <v>37847.275118754173</v>
      </c>
      <c r="AM26" s="3">
        <f t="shared" si="21"/>
        <v>40583.654974415331</v>
      </c>
      <c r="AN26" s="3">
        <f t="shared" si="21"/>
        <v>43401.431459277621</v>
      </c>
      <c r="AO26" s="3">
        <f t="shared" si="21"/>
        <v>46291.219568345216</v>
      </c>
      <c r="AP26" s="3">
        <f t="shared" si="21"/>
        <v>49241.174742794363</v>
      </c>
    </row>
    <row r="27" spans="2:143" s="1" customFormat="1" x14ac:dyDescent="0.2">
      <c r="B27" s="1" t="s">
        <v>24</v>
      </c>
      <c r="C27" s="1">
        <v>351</v>
      </c>
      <c r="D27" s="1">
        <v>560</v>
      </c>
      <c r="E27" s="1">
        <v>649</v>
      </c>
      <c r="F27" s="1">
        <f>+Y27-SUM(C27:E27)</f>
        <v>579</v>
      </c>
      <c r="G27" s="1">
        <v>708</v>
      </c>
      <c r="H27" s="1">
        <v>775</v>
      </c>
      <c r="I27" s="1">
        <v>697</v>
      </c>
      <c r="J27" s="1">
        <f>+Z27-SUM(G27:I27)</f>
        <v>586</v>
      </c>
      <c r="K27" s="1">
        <v>746</v>
      </c>
      <c r="U27" s="1">
        <v>1670</v>
      </c>
      <c r="V27" s="1">
        <v>1161</v>
      </c>
      <c r="W27" s="1">
        <v>2629</v>
      </c>
      <c r="X27" s="1">
        <v>2071</v>
      </c>
      <c r="Y27" s="1">
        <v>2139</v>
      </c>
      <c r="Z27" s="1">
        <v>2766</v>
      </c>
      <c r="AA27" s="1">
        <f>+AA26*0.2</f>
        <v>2835.7840000000015</v>
      </c>
      <c r="AB27" s="1">
        <f t="shared" ref="AB27:AP27" si="22">+AB26*0.2</f>
        <v>3166.9949600000009</v>
      </c>
      <c r="AC27" s="1">
        <f t="shared" si="22"/>
        <v>3517.2032824000012</v>
      </c>
      <c r="AD27" s="1">
        <f t="shared" si="22"/>
        <v>3886.8878760080029</v>
      </c>
      <c r="AE27" s="1">
        <f t="shared" si="22"/>
        <v>4276.4548565068026</v>
      </c>
      <c r="AF27" s="1">
        <f t="shared" si="22"/>
        <v>4686.2199458121968</v>
      </c>
      <c r="AG27" s="1">
        <f t="shared" si="22"/>
        <v>5116.3881776568342</v>
      </c>
      <c r="AH27" s="1">
        <f t="shared" si="22"/>
        <v>5567.0305492392945</v>
      </c>
      <c r="AI27" s="1">
        <f t="shared" si="22"/>
        <v>6038.0572133093083</v>
      </c>
      <c r="AJ27" s="1">
        <f t="shared" si="22"/>
        <v>6529.1867540061103</v>
      </c>
      <c r="AK27" s="1">
        <f t="shared" si="22"/>
        <v>7039.9110324501962</v>
      </c>
      <c r="AL27" s="1">
        <f t="shared" si="22"/>
        <v>7569.4550237508347</v>
      </c>
      <c r="AM27" s="1">
        <f t="shared" si="22"/>
        <v>8116.7309948830662</v>
      </c>
      <c r="AN27" s="1">
        <f t="shared" si="22"/>
        <v>8680.2862918555238</v>
      </c>
      <c r="AO27" s="1">
        <f t="shared" si="22"/>
        <v>9258.2439136690427</v>
      </c>
      <c r="AP27" s="1">
        <f t="shared" si="22"/>
        <v>9848.2349485588729</v>
      </c>
    </row>
    <row r="28" spans="2:143" s="3" customFormat="1" x14ac:dyDescent="0.2">
      <c r="B28" s="3" t="s">
        <v>29</v>
      </c>
      <c r="C28" s="3">
        <f t="shared" ref="C28" si="23">+C26-C27</f>
        <v>1816</v>
      </c>
      <c r="D28" s="3">
        <f t="shared" ref="D28:F28" si="24">+D26-D27</f>
        <v>2174</v>
      </c>
      <c r="E28" s="3">
        <f t="shared" si="24"/>
        <v>2451</v>
      </c>
      <c r="F28" s="3">
        <f t="shared" si="24"/>
        <v>2933</v>
      </c>
      <c r="G28" s="3">
        <f t="shared" ref="G28:H28" si="25">+G26-G27</f>
        <v>2437</v>
      </c>
      <c r="H28" s="3">
        <f t="shared" si="25"/>
        <v>3015</v>
      </c>
      <c r="I28" s="3">
        <f t="shared" ref="I28:J28" si="26">+I26-I27</f>
        <v>2507</v>
      </c>
      <c r="J28" s="3">
        <f t="shared" si="26"/>
        <v>2170</v>
      </c>
      <c r="K28" s="3">
        <f t="shared" ref="K28" si="27">+K26-K27</f>
        <v>2584</v>
      </c>
      <c r="U28" s="3">
        <f t="shared" ref="U28:AP28" si="28">+U26-U27</f>
        <v>6759</v>
      </c>
      <c r="V28" s="3">
        <f t="shared" si="28"/>
        <v>3135</v>
      </c>
      <c r="W28" s="3">
        <f t="shared" si="28"/>
        <v>8060</v>
      </c>
      <c r="X28" s="3">
        <f t="shared" si="28"/>
        <v>7514</v>
      </c>
      <c r="Y28" s="3">
        <f t="shared" si="28"/>
        <v>9374</v>
      </c>
      <c r="Z28" s="3">
        <f t="shared" si="28"/>
        <v>10129</v>
      </c>
      <c r="AA28" s="3">
        <f t="shared" si="28"/>
        <v>11343.136000000004</v>
      </c>
      <c r="AB28" s="3">
        <f t="shared" si="28"/>
        <v>12667.979840000004</v>
      </c>
      <c r="AC28" s="3">
        <f t="shared" si="28"/>
        <v>14068.813129600003</v>
      </c>
      <c r="AD28" s="3">
        <f t="shared" si="28"/>
        <v>15547.551504032012</v>
      </c>
      <c r="AE28" s="3">
        <f t="shared" si="28"/>
        <v>17105.819426027207</v>
      </c>
      <c r="AF28" s="3">
        <f t="shared" si="28"/>
        <v>18744.879783248783</v>
      </c>
      <c r="AG28" s="3">
        <f t="shared" si="28"/>
        <v>20465.552710627333</v>
      </c>
      <c r="AH28" s="3">
        <f t="shared" si="28"/>
        <v>22268.122196957178</v>
      </c>
      <c r="AI28" s="3">
        <f t="shared" si="28"/>
        <v>24152.228853237233</v>
      </c>
      <c r="AJ28" s="3">
        <f t="shared" si="28"/>
        <v>26116.747016024437</v>
      </c>
      <c r="AK28" s="3">
        <f t="shared" si="28"/>
        <v>28159.644129800785</v>
      </c>
      <c r="AL28" s="3">
        <f t="shared" si="28"/>
        <v>30277.820095003339</v>
      </c>
      <c r="AM28" s="3">
        <f t="shared" si="28"/>
        <v>32466.923979532265</v>
      </c>
      <c r="AN28" s="3">
        <f t="shared" si="28"/>
        <v>34721.145167422095</v>
      </c>
      <c r="AO28" s="3">
        <f t="shared" si="28"/>
        <v>37032.975654676171</v>
      </c>
      <c r="AP28" s="3">
        <f t="shared" si="28"/>
        <v>39392.939794235492</v>
      </c>
      <c r="AQ28" s="3">
        <f t="shared" ref="AQ28:BV28" si="29">+AP28*(1+$AS$32)</f>
        <v>38999.010396293139</v>
      </c>
      <c r="AR28" s="3">
        <f t="shared" si="29"/>
        <v>38609.020292330206</v>
      </c>
      <c r="AS28" s="3">
        <f t="shared" si="29"/>
        <v>38222.930089406902</v>
      </c>
      <c r="AT28" s="3">
        <f t="shared" si="29"/>
        <v>37840.700788512833</v>
      </c>
      <c r="AU28" s="3">
        <f t="shared" si="29"/>
        <v>37462.293780627704</v>
      </c>
      <c r="AV28" s="3">
        <f t="shared" si="29"/>
        <v>37087.670842821426</v>
      </c>
      <c r="AW28" s="3">
        <f t="shared" si="29"/>
        <v>36716.794134393211</v>
      </c>
      <c r="AX28" s="3">
        <f t="shared" si="29"/>
        <v>36349.626193049276</v>
      </c>
      <c r="AY28" s="3">
        <f t="shared" si="29"/>
        <v>35986.129931118783</v>
      </c>
      <c r="AZ28" s="3">
        <f t="shared" si="29"/>
        <v>35626.268631807594</v>
      </c>
      <c r="BA28" s="3">
        <f t="shared" si="29"/>
        <v>35270.005945489516</v>
      </c>
      <c r="BB28" s="3">
        <f t="shared" si="29"/>
        <v>34917.305886034621</v>
      </c>
      <c r="BC28" s="3">
        <f t="shared" si="29"/>
        <v>34568.132827174275</v>
      </c>
      <c r="BD28" s="3">
        <f t="shared" si="29"/>
        <v>34222.451498902534</v>
      </c>
      <c r="BE28" s="3">
        <f t="shared" si="29"/>
        <v>33880.226983913512</v>
      </c>
      <c r="BF28" s="3">
        <f t="shared" si="29"/>
        <v>33541.424714074376</v>
      </c>
      <c r="BG28" s="3">
        <f t="shared" si="29"/>
        <v>33206.010466933629</v>
      </c>
      <c r="BH28" s="3">
        <f t="shared" si="29"/>
        <v>32873.950362264295</v>
      </c>
      <c r="BI28" s="3">
        <f t="shared" si="29"/>
        <v>32545.210858641651</v>
      </c>
      <c r="BJ28" s="3">
        <f t="shared" si="29"/>
        <v>32219.758750055233</v>
      </c>
      <c r="BK28" s="3">
        <f t="shared" si="29"/>
        <v>31897.561162554681</v>
      </c>
      <c r="BL28" s="3">
        <f t="shared" si="29"/>
        <v>31578.585550929132</v>
      </c>
      <c r="BM28" s="3">
        <f t="shared" si="29"/>
        <v>31262.799695419842</v>
      </c>
      <c r="BN28" s="3">
        <f t="shared" si="29"/>
        <v>30950.171698465645</v>
      </c>
      <c r="BO28" s="3">
        <f t="shared" si="29"/>
        <v>30640.669981480987</v>
      </c>
      <c r="BP28" s="3">
        <f t="shared" si="29"/>
        <v>30334.263281666175</v>
      </c>
      <c r="BQ28" s="3">
        <f t="shared" si="29"/>
        <v>30030.920648849515</v>
      </c>
      <c r="BR28" s="3">
        <f t="shared" si="29"/>
        <v>29730.61144236102</v>
      </c>
      <c r="BS28" s="3">
        <f t="shared" si="29"/>
        <v>29433.305327937411</v>
      </c>
      <c r="BT28" s="3">
        <f t="shared" si="29"/>
        <v>29138.972274658037</v>
      </c>
      <c r="BU28" s="3">
        <f t="shared" si="29"/>
        <v>28847.582551911455</v>
      </c>
      <c r="BV28" s="3">
        <f t="shared" si="29"/>
        <v>28559.10672639234</v>
      </c>
      <c r="BW28" s="3">
        <f t="shared" ref="BW28:DB28" si="30">+BV28*(1+$AS$32)</f>
        <v>28273.515659128418</v>
      </c>
      <c r="BX28" s="3">
        <f t="shared" si="30"/>
        <v>27990.780502537134</v>
      </c>
      <c r="BY28" s="3">
        <f t="shared" si="30"/>
        <v>27710.872697511764</v>
      </c>
      <c r="BZ28" s="3">
        <f t="shared" si="30"/>
        <v>27433.763970536646</v>
      </c>
      <c r="CA28" s="3">
        <f t="shared" si="30"/>
        <v>27159.42633083128</v>
      </c>
      <c r="CB28" s="3">
        <f t="shared" si="30"/>
        <v>26887.832067522966</v>
      </c>
      <c r="CC28" s="3">
        <f t="shared" si="30"/>
        <v>26618.953746847736</v>
      </c>
      <c r="CD28" s="3">
        <f t="shared" si="30"/>
        <v>26352.764209379256</v>
      </c>
      <c r="CE28" s="3">
        <f t="shared" si="30"/>
        <v>26089.236567285465</v>
      </c>
      <c r="CF28" s="3">
        <f t="shared" si="30"/>
        <v>25828.34420161261</v>
      </c>
      <c r="CG28" s="3">
        <f t="shared" si="30"/>
        <v>25570.060759596483</v>
      </c>
      <c r="CH28" s="3">
        <f t="shared" si="30"/>
        <v>25314.360152000518</v>
      </c>
      <c r="CI28" s="3">
        <f t="shared" si="30"/>
        <v>25061.216550480513</v>
      </c>
      <c r="CJ28" s="3">
        <f t="shared" si="30"/>
        <v>24810.604384975708</v>
      </c>
      <c r="CK28" s="3">
        <f t="shared" si="30"/>
        <v>24562.498341125949</v>
      </c>
      <c r="CL28" s="3">
        <f t="shared" si="30"/>
        <v>24316.873357714689</v>
      </c>
      <c r="CM28" s="3">
        <f t="shared" si="30"/>
        <v>24073.704624137543</v>
      </c>
      <c r="CN28" s="3">
        <f t="shared" si="30"/>
        <v>23832.967577896168</v>
      </c>
      <c r="CO28" s="3">
        <f t="shared" si="30"/>
        <v>23594.637902117207</v>
      </c>
      <c r="CP28" s="3">
        <f t="shared" si="30"/>
        <v>23358.691523096033</v>
      </c>
      <c r="CQ28" s="3">
        <f t="shared" si="30"/>
        <v>23125.104607865072</v>
      </c>
      <c r="CR28" s="3">
        <f t="shared" si="30"/>
        <v>22893.853561786422</v>
      </c>
      <c r="CS28" s="3">
        <f t="shared" si="30"/>
        <v>22664.915026168557</v>
      </c>
      <c r="CT28" s="3">
        <f t="shared" si="30"/>
        <v>22438.265875906873</v>
      </c>
      <c r="CU28" s="3">
        <f t="shared" si="30"/>
        <v>22213.883217147802</v>
      </c>
      <c r="CV28" s="3">
        <f t="shared" si="30"/>
        <v>21991.744384976326</v>
      </c>
      <c r="CW28" s="3">
        <f t="shared" si="30"/>
        <v>21771.826941126561</v>
      </c>
      <c r="CX28" s="3">
        <f t="shared" si="30"/>
        <v>21554.108671715294</v>
      </c>
      <c r="CY28" s="3">
        <f t="shared" si="30"/>
        <v>21338.567584998142</v>
      </c>
      <c r="CZ28" s="3">
        <f t="shared" si="30"/>
        <v>21125.181909148159</v>
      </c>
      <c r="DA28" s="3">
        <f t="shared" si="30"/>
        <v>20913.930090056678</v>
      </c>
      <c r="DB28" s="3">
        <f t="shared" si="30"/>
        <v>20704.790789156112</v>
      </c>
      <c r="DC28" s="3">
        <f t="shared" ref="DC28:EM28" si="31">+DB28*(1+$AS$32)</f>
        <v>20497.742881264552</v>
      </c>
      <c r="DD28" s="3">
        <f t="shared" si="31"/>
        <v>20292.765452451906</v>
      </c>
      <c r="DE28" s="3">
        <f t="shared" si="31"/>
        <v>20089.837797927386</v>
      </c>
      <c r="DF28" s="3">
        <f t="shared" si="31"/>
        <v>19888.939419948114</v>
      </c>
      <c r="DG28" s="3">
        <f t="shared" si="31"/>
        <v>19690.050025748631</v>
      </c>
      <c r="DH28" s="3">
        <f t="shared" si="31"/>
        <v>19493.149525491146</v>
      </c>
      <c r="DI28" s="3">
        <f t="shared" si="31"/>
        <v>19298.218030236236</v>
      </c>
      <c r="DJ28" s="3">
        <f t="shared" si="31"/>
        <v>19105.235849933873</v>
      </c>
      <c r="DK28" s="3">
        <f t="shared" si="31"/>
        <v>18914.183491434535</v>
      </c>
      <c r="DL28" s="3">
        <f t="shared" si="31"/>
        <v>18725.041656520189</v>
      </c>
      <c r="DM28" s="3">
        <f t="shared" si="31"/>
        <v>18537.791239954986</v>
      </c>
      <c r="DN28" s="3">
        <f t="shared" si="31"/>
        <v>18352.413327555438</v>
      </c>
      <c r="DO28" s="3">
        <f t="shared" si="31"/>
        <v>18168.889194279884</v>
      </c>
      <c r="DP28" s="3">
        <f t="shared" si="31"/>
        <v>17987.200302337085</v>
      </c>
      <c r="DQ28" s="3">
        <f t="shared" si="31"/>
        <v>17807.328299313715</v>
      </c>
      <c r="DR28" s="3">
        <f t="shared" si="31"/>
        <v>17629.255016320578</v>
      </c>
      <c r="DS28" s="3">
        <f t="shared" si="31"/>
        <v>17452.962466157373</v>
      </c>
      <c r="DT28" s="3">
        <f t="shared" si="31"/>
        <v>17278.4328414958</v>
      </c>
      <c r="DU28" s="3">
        <f t="shared" si="31"/>
        <v>17105.648513080843</v>
      </c>
      <c r="DV28" s="3">
        <f t="shared" si="31"/>
        <v>16934.592027950035</v>
      </c>
      <c r="DW28" s="3">
        <f t="shared" si="31"/>
        <v>16765.246107670533</v>
      </c>
      <c r="DX28" s="3">
        <f t="shared" si="31"/>
        <v>16597.593646593828</v>
      </c>
      <c r="DY28" s="3">
        <f t="shared" si="31"/>
        <v>16431.617710127892</v>
      </c>
      <c r="DZ28" s="3">
        <f t="shared" si="31"/>
        <v>16267.301533026613</v>
      </c>
      <c r="EA28" s="3">
        <f t="shared" si="31"/>
        <v>16104.628517696347</v>
      </c>
      <c r="EB28" s="3">
        <f t="shared" si="31"/>
        <v>15943.582232519382</v>
      </c>
      <c r="EC28" s="3">
        <f t="shared" si="31"/>
        <v>15784.146410194187</v>
      </c>
      <c r="ED28" s="3">
        <f t="shared" si="31"/>
        <v>15626.304946092245</v>
      </c>
      <c r="EE28" s="3">
        <f t="shared" si="31"/>
        <v>15470.041896631323</v>
      </c>
      <c r="EF28" s="3">
        <f t="shared" si="31"/>
        <v>15315.34147766501</v>
      </c>
      <c r="EG28" s="3">
        <f t="shared" si="31"/>
        <v>15162.188062888359</v>
      </c>
      <c r="EH28" s="3">
        <f t="shared" si="31"/>
        <v>15010.566182259476</v>
      </c>
      <c r="EI28" s="3">
        <f t="shared" si="31"/>
        <v>14860.46052043688</v>
      </c>
      <c r="EJ28" s="3">
        <f t="shared" si="31"/>
        <v>14711.855915232511</v>
      </c>
      <c r="EK28" s="3">
        <f t="shared" si="31"/>
        <v>14564.737356080186</v>
      </c>
      <c r="EL28" s="3">
        <f t="shared" si="31"/>
        <v>14419.089982519385</v>
      </c>
      <c r="EM28" s="3">
        <f t="shared" si="31"/>
        <v>14274.89908269419</v>
      </c>
    </row>
    <row r="29" spans="2:143" s="5" customFormat="1" x14ac:dyDescent="0.2">
      <c r="B29" s="5" t="s">
        <v>28</v>
      </c>
      <c r="C29" s="5">
        <f t="shared" ref="C29" si="32">+C28/C30</f>
        <v>2.4408602150537635</v>
      </c>
      <c r="D29" s="5">
        <f t="shared" ref="D29:F29" si="33">+D28/D30</f>
        <v>2.9338731443994601</v>
      </c>
      <c r="E29" s="5">
        <f t="shared" si="33"/>
        <v>3.3437926330150067</v>
      </c>
      <c r="F29" s="5">
        <f t="shared" si="33"/>
        <v>4.0399449035812669</v>
      </c>
      <c r="G29" s="5">
        <f t="shared" ref="G29:H29" si="34">+G28/G30</f>
        <v>3.3753462603878117</v>
      </c>
      <c r="H29" s="5">
        <f t="shared" si="34"/>
        <v>4.2050209205020916</v>
      </c>
      <c r="I29" s="5">
        <f t="shared" ref="I29:J29" si="35">+I28/I30</f>
        <v>3.535966149506347</v>
      </c>
      <c r="J29" s="5">
        <f t="shared" si="35"/>
        <v>3.0823863636363638</v>
      </c>
      <c r="K29" s="5">
        <f t="shared" ref="K29" si="36">+K28/K30</f>
        <v>3.6809116809116809</v>
      </c>
      <c r="U29" s="5">
        <f t="shared" ref="U29:Z29" si="37">+U28/U30</f>
        <v>8.1433734939759042</v>
      </c>
      <c r="V29" s="5">
        <f t="shared" si="37"/>
        <v>3.8895781637717119</v>
      </c>
      <c r="W29" s="5">
        <f t="shared" si="37"/>
        <v>10.20253164556962</v>
      </c>
      <c r="X29" s="5">
        <f t="shared" si="37"/>
        <v>9.9920212765957448</v>
      </c>
      <c r="Y29" s="5">
        <f t="shared" si="37"/>
        <v>12.736413043478262</v>
      </c>
      <c r="Z29" s="5">
        <f t="shared" si="37"/>
        <v>14.20617110799439</v>
      </c>
      <c r="AA29" s="5">
        <f t="shared" ref="AA29" si="38">+AA28/AA30</f>
        <v>15.909026647966344</v>
      </c>
    </row>
    <row r="30" spans="2:143" x14ac:dyDescent="0.2">
      <c r="B30" t="s">
        <v>27</v>
      </c>
      <c r="C30" s="1">
        <v>744</v>
      </c>
      <c r="D30" s="1">
        <v>741</v>
      </c>
      <c r="E30" s="1">
        <v>733</v>
      </c>
      <c r="F30">
        <f>+(Y30*4)-SUM(C30:E30)</f>
        <v>726</v>
      </c>
      <c r="G30" s="1">
        <v>722</v>
      </c>
      <c r="H30" s="1">
        <v>717</v>
      </c>
      <c r="I30" s="1">
        <v>709</v>
      </c>
      <c r="J30">
        <f>+(Z30*4)-SUM(G30:I30)</f>
        <v>704</v>
      </c>
      <c r="K30" s="1">
        <v>702</v>
      </c>
      <c r="U30" s="1">
        <v>830</v>
      </c>
      <c r="V30" s="1">
        <v>806</v>
      </c>
      <c r="W30" s="1">
        <v>790</v>
      </c>
      <c r="X30" s="1">
        <v>752</v>
      </c>
      <c r="Y30" s="1">
        <v>736</v>
      </c>
      <c r="Z30" s="1">
        <v>713</v>
      </c>
      <c r="AA30" s="1">
        <v>713</v>
      </c>
    </row>
    <row r="32" spans="2:143" s="4" customFormat="1" x14ac:dyDescent="0.2">
      <c r="B32" s="4" t="s">
        <v>26</v>
      </c>
      <c r="C32" s="4">
        <f t="shared" ref="C32" si="39">+C26/C18</f>
        <v>0.16384394374716468</v>
      </c>
      <c r="D32" s="4">
        <f t="shared" ref="D32:E32" si="40">+D26/D18</f>
        <v>0.19731524249422633</v>
      </c>
      <c r="E32" s="4">
        <f t="shared" si="40"/>
        <v>0.21911224201300536</v>
      </c>
      <c r="F32" s="4">
        <f t="shared" ref="F32" si="41">+F26/F18</f>
        <v>0.24453418743907535</v>
      </c>
      <c r="G32" s="4">
        <f t="shared" ref="G32:H32" si="42">+G26/G18</f>
        <v>0.21641893751720342</v>
      </c>
      <c r="H32" s="4">
        <f t="shared" si="42"/>
        <v>0.25157650182542318</v>
      </c>
      <c r="I32" s="4">
        <f t="shared" ref="I32:J32" si="43">+I26/I18</f>
        <v>0.20968586387434554</v>
      </c>
      <c r="J32" s="4">
        <f t="shared" si="43"/>
        <v>0.17347516837666016</v>
      </c>
      <c r="K32" s="4">
        <f t="shared" ref="K32" si="44">+K26/K18</f>
        <v>0.21053297085414427</v>
      </c>
      <c r="U32" s="4">
        <f t="shared" ref="U32:AP32" si="45">+U26/U18</f>
        <v>0.21081459620338644</v>
      </c>
      <c r="V32" s="4">
        <f t="shared" si="45"/>
        <v>0.13700290206333515</v>
      </c>
      <c r="W32" s="4">
        <f t="shared" si="45"/>
        <v>0.24404666773214001</v>
      </c>
      <c r="X32" s="4">
        <f t="shared" si="45"/>
        <v>0.18912786108918705</v>
      </c>
      <c r="Y32" s="4">
        <f t="shared" si="45"/>
        <v>0.20709814361778672</v>
      </c>
      <c r="Z32" s="4">
        <f t="shared" si="45"/>
        <v>0.21221446909354222</v>
      </c>
      <c r="AA32" s="4">
        <f t="shared" si="45"/>
        <v>0.21807858440530153</v>
      </c>
      <c r="AB32" s="4">
        <f t="shared" si="45"/>
        <v>0.227616355927035</v>
      </c>
      <c r="AC32" s="4">
        <f t="shared" si="45"/>
        <v>0.23624889507081956</v>
      </c>
      <c r="AD32" s="4">
        <f t="shared" si="45"/>
        <v>0.24400040734415768</v>
      </c>
      <c r="AE32" s="4">
        <f t="shared" si="45"/>
        <v>0.25089306249384202</v>
      </c>
      <c r="AF32" s="4">
        <f t="shared" si="45"/>
        <v>0.2569470591127801</v>
      </c>
      <c r="AG32" s="4">
        <f t="shared" si="45"/>
        <v>0.26218068404130446</v>
      </c>
      <c r="AH32" s="4">
        <f t="shared" si="45"/>
        <v>0.26661036675078781</v>
      </c>
      <c r="AI32" s="4">
        <f t="shared" si="45"/>
        <v>0.2702507288832649</v>
      </c>
      <c r="AJ32" s="4">
        <f t="shared" si="45"/>
        <v>0.27311462910723283</v>
      </c>
      <c r="AK32" s="4">
        <f t="shared" si="45"/>
        <v>0.2752132034367869</v>
      </c>
      <c r="AL32" s="4">
        <f t="shared" si="45"/>
        <v>0.27655590114872552</v>
      </c>
      <c r="AM32" s="4">
        <f t="shared" si="45"/>
        <v>0.27715051642020183</v>
      </c>
      <c r="AN32" s="4">
        <f t="shared" si="45"/>
        <v>0.2770032157978336</v>
      </c>
      <c r="AO32" s="4">
        <f t="shared" si="45"/>
        <v>0.2761185615979399</v>
      </c>
      <c r="AP32" s="4">
        <f t="shared" si="45"/>
        <v>0.27449953132664773</v>
      </c>
      <c r="AR32" s="1" t="s">
        <v>22</v>
      </c>
      <c r="AS32" s="4">
        <v>-0.01</v>
      </c>
    </row>
    <row r="33" spans="2:45" s="4" customFormat="1" x14ac:dyDescent="0.2">
      <c r="B33" s="4" t="s">
        <v>25</v>
      </c>
      <c r="C33" s="4">
        <f t="shared" ref="C33" si="46">+C28/C18</f>
        <v>0.13730530772720398</v>
      </c>
      <c r="D33" s="4">
        <f t="shared" ref="D33:E33" si="47">+D28/D18</f>
        <v>0.15689953810623555</v>
      </c>
      <c r="E33" s="4">
        <f t="shared" si="47"/>
        <v>0.17324003392705684</v>
      </c>
      <c r="F33" s="4">
        <f t="shared" ref="F33" si="48">+F28/F18</f>
        <v>0.20421946804066285</v>
      </c>
      <c r="G33" s="4">
        <f t="shared" ref="G33:H33" si="49">+G28/G18</f>
        <v>0.16769887145609688</v>
      </c>
      <c r="H33" s="4">
        <f t="shared" si="49"/>
        <v>0.20013275804845668</v>
      </c>
      <c r="I33" s="4">
        <f t="shared" ref="I33:J33" si="50">+I28/I18</f>
        <v>0.16407068062827226</v>
      </c>
      <c r="J33" s="4">
        <f t="shared" si="50"/>
        <v>0.13658966450557058</v>
      </c>
      <c r="K33" s="4">
        <f t="shared" ref="K33" si="51">+K28/K18</f>
        <v>0.16336852753366632</v>
      </c>
      <c r="U33" s="4">
        <f t="shared" ref="U33:AP33" si="52">+U28/U18</f>
        <v>0.16904684490908636</v>
      </c>
      <c r="V33" s="4">
        <f t="shared" si="52"/>
        <v>9.9977676435883539E-2</v>
      </c>
      <c r="W33" s="4">
        <f t="shared" si="52"/>
        <v>0.1840224662663531</v>
      </c>
      <c r="X33" s="4">
        <f t="shared" si="52"/>
        <v>0.14826361483820047</v>
      </c>
      <c r="Y33" s="4">
        <f t="shared" si="52"/>
        <v>0.16862138437185206</v>
      </c>
      <c r="Z33" s="4">
        <f t="shared" si="52"/>
        <v>0.16669409518794023</v>
      </c>
      <c r="AA33" s="4">
        <f t="shared" si="52"/>
        <v>0.17446286752424123</v>
      </c>
      <c r="AB33" s="4">
        <f t="shared" si="52"/>
        <v>0.18209308474162803</v>
      </c>
      <c r="AC33" s="4">
        <f t="shared" si="52"/>
        <v>0.18899911605665565</v>
      </c>
      <c r="AD33" s="4">
        <f t="shared" si="52"/>
        <v>0.19520032587532615</v>
      </c>
      <c r="AE33" s="4">
        <f t="shared" si="52"/>
        <v>0.2007144499950736</v>
      </c>
      <c r="AF33" s="4">
        <f t="shared" si="52"/>
        <v>0.20555764729022408</v>
      </c>
      <c r="AG33" s="4">
        <f t="shared" si="52"/>
        <v>0.20974454723304356</v>
      </c>
      <c r="AH33" s="4">
        <f t="shared" si="52"/>
        <v>0.21328829340063024</v>
      </c>
      <c r="AI33" s="4">
        <f t="shared" si="52"/>
        <v>0.21620058310661192</v>
      </c>
      <c r="AJ33" s="4">
        <f t="shared" si="52"/>
        <v>0.21849170328578627</v>
      </c>
      <c r="AK33" s="4">
        <f t="shared" si="52"/>
        <v>0.22017056274942953</v>
      </c>
      <c r="AL33" s="4">
        <f t="shared" si="52"/>
        <v>0.22124472091898043</v>
      </c>
      <c r="AM33" s="4">
        <f t="shared" si="52"/>
        <v>0.22172041313616148</v>
      </c>
      <c r="AN33" s="4">
        <f t="shared" si="52"/>
        <v>0.22160257263826685</v>
      </c>
      <c r="AO33" s="4">
        <f t="shared" si="52"/>
        <v>0.2208948492783519</v>
      </c>
      <c r="AP33" s="4">
        <f t="shared" si="52"/>
        <v>0.21959962506131819</v>
      </c>
      <c r="AR33" s="1" t="s">
        <v>21</v>
      </c>
      <c r="AS33" s="4">
        <v>0.09</v>
      </c>
    </row>
    <row r="34" spans="2:45" s="4" customFormat="1" x14ac:dyDescent="0.2">
      <c r="B34" s="4" t="s">
        <v>24</v>
      </c>
      <c r="C34" s="4">
        <f t="shared" ref="C34" si="53">+C27/C26</f>
        <v>0.16197508075680664</v>
      </c>
      <c r="D34" s="4">
        <f t="shared" ref="D34:E34" si="54">+D27/D26</f>
        <v>0.20482809070958302</v>
      </c>
      <c r="E34" s="4">
        <f t="shared" si="54"/>
        <v>0.20935483870967742</v>
      </c>
      <c r="F34" s="4">
        <f t="shared" ref="F34" si="55">+F27/F26</f>
        <v>0.16486332574031889</v>
      </c>
      <c r="G34" s="4">
        <f t="shared" ref="G34:H34" si="56">+G27/G26</f>
        <v>0.22511923688394275</v>
      </c>
      <c r="H34" s="4">
        <f t="shared" si="56"/>
        <v>0.20448548812664907</v>
      </c>
      <c r="I34" s="4">
        <f t="shared" ref="I34:J34" si="57">+I27/I26</f>
        <v>0.21754057428214732</v>
      </c>
      <c r="J34" s="4">
        <f t="shared" si="57"/>
        <v>0.21262699564586357</v>
      </c>
      <c r="K34" s="4">
        <f t="shared" ref="K34" si="58">+K27/K26</f>
        <v>0.22402402402402402</v>
      </c>
      <c r="U34" s="4">
        <f t="shared" ref="U34:AP34" si="59">+U27/U26</f>
        <v>0.19812551904140469</v>
      </c>
      <c r="V34" s="4">
        <f t="shared" si="59"/>
        <v>0.27025139664804471</v>
      </c>
      <c r="W34" s="4">
        <f t="shared" si="59"/>
        <v>0.24595378426419684</v>
      </c>
      <c r="X34" s="4">
        <f t="shared" si="59"/>
        <v>0.21606677099634847</v>
      </c>
      <c r="Y34" s="4">
        <f t="shared" si="59"/>
        <v>0.1857899765482498</v>
      </c>
      <c r="Z34" s="4">
        <f t="shared" si="59"/>
        <v>0.21450174486234974</v>
      </c>
      <c r="AA34" s="4">
        <f t="shared" si="59"/>
        <v>0.20000000000000004</v>
      </c>
      <c r="AB34" s="4">
        <f t="shared" si="59"/>
        <v>0.2</v>
      </c>
      <c r="AC34" s="4">
        <f t="shared" si="59"/>
        <v>0.2</v>
      </c>
      <c r="AD34" s="4">
        <f t="shared" si="59"/>
        <v>0.2</v>
      </c>
      <c r="AE34" s="4">
        <f t="shared" si="59"/>
        <v>0.20000000000000004</v>
      </c>
      <c r="AF34" s="4">
        <f t="shared" si="59"/>
        <v>0.2</v>
      </c>
      <c r="AG34" s="4">
        <f t="shared" si="59"/>
        <v>0.20000000000000004</v>
      </c>
      <c r="AH34" s="4">
        <f t="shared" si="59"/>
        <v>0.2</v>
      </c>
      <c r="AI34" s="4">
        <f t="shared" si="59"/>
        <v>0.2</v>
      </c>
      <c r="AJ34" s="4">
        <f t="shared" si="59"/>
        <v>0.2</v>
      </c>
      <c r="AK34" s="4">
        <f t="shared" si="59"/>
        <v>0.2</v>
      </c>
      <c r="AL34" s="4">
        <f t="shared" si="59"/>
        <v>0.2</v>
      </c>
      <c r="AM34" s="4">
        <f t="shared" si="59"/>
        <v>0.2</v>
      </c>
      <c r="AN34" s="4">
        <f t="shared" si="59"/>
        <v>0.19999999999999998</v>
      </c>
      <c r="AO34" s="4">
        <f t="shared" si="59"/>
        <v>0.19999999999999998</v>
      </c>
      <c r="AP34" s="4">
        <f t="shared" si="59"/>
        <v>0.2</v>
      </c>
      <c r="AR34" s="1" t="s">
        <v>19</v>
      </c>
      <c r="AS34" s="1">
        <f>+NPV(AS33,AA28:EM28)+Main!L6-Main!L7</f>
        <v>271555.27451837546</v>
      </c>
    </row>
    <row r="35" spans="2:45" s="4" customFormat="1" x14ac:dyDescent="0.2">
      <c r="AR35" s="4" t="s">
        <v>27</v>
      </c>
      <c r="AS35" s="1">
        <f>+AS34/Main!L4</f>
        <v>387.61003228380639</v>
      </c>
    </row>
    <row r="36" spans="2:45" s="6" customFormat="1" x14ac:dyDescent="0.2">
      <c r="B36" s="6" t="s">
        <v>23</v>
      </c>
      <c r="G36" s="6">
        <f>+G16/C16-1</f>
        <v>0.13319333078783258</v>
      </c>
      <c r="H36" s="6">
        <f>+H16/D16-1</f>
        <v>0.10003587658454904</v>
      </c>
      <c r="I36" s="6">
        <f>+I16/E16-1</f>
        <v>9.3136969555853044E-2</v>
      </c>
      <c r="J36" s="6">
        <f>+J16/F16-1</f>
        <v>8.2887248549050607E-2</v>
      </c>
      <c r="K36" s="6">
        <f>+K16/G16-1</f>
        <v>6.3233559836019637E-2</v>
      </c>
      <c r="U36" s="6" t="e">
        <f>+U18/#REF!-1</f>
        <v>#REF!</v>
      </c>
      <c r="V36" s="6">
        <f t="shared" ref="V36:Y36" si="60">+V16/U16-1</f>
        <v>-1.8077413866439795E-2</v>
      </c>
      <c r="W36" s="6">
        <f t="shared" si="60"/>
        <v>-5.4299328568334415E-2</v>
      </c>
      <c r="X36" s="6">
        <f t="shared" si="60"/>
        <v>0.27396193573506178</v>
      </c>
      <c r="Y36" s="6">
        <f t="shared" si="60"/>
        <v>0.21103820224719105</v>
      </c>
      <c r="Z36" s="6">
        <f>+Z16/Y16-1</f>
        <v>0.10149337925301349</v>
      </c>
      <c r="AA36" s="6">
        <f t="shared" ref="AA36:AP36" si="61">+AA18/Z18-1</f>
        <v>7.0000000000000062E-2</v>
      </c>
      <c r="AB36" s="6">
        <f t="shared" si="61"/>
        <v>7.0000000000000062E-2</v>
      </c>
      <c r="AC36" s="6">
        <f t="shared" si="61"/>
        <v>7.0000000000000062E-2</v>
      </c>
      <c r="AD36" s="6">
        <f t="shared" si="61"/>
        <v>7.0000000000000062E-2</v>
      </c>
      <c r="AE36" s="6">
        <f t="shared" si="61"/>
        <v>7.0000000000000062E-2</v>
      </c>
      <c r="AF36" s="6">
        <f t="shared" si="61"/>
        <v>7.0000000000000062E-2</v>
      </c>
      <c r="AG36" s="6">
        <f t="shared" si="61"/>
        <v>7.0000000000000062E-2</v>
      </c>
      <c r="AH36" s="6">
        <f t="shared" si="61"/>
        <v>7.0000000000000062E-2</v>
      </c>
      <c r="AI36" s="6">
        <f t="shared" si="61"/>
        <v>7.0000000000000062E-2</v>
      </c>
      <c r="AJ36" s="6">
        <f t="shared" si="61"/>
        <v>7.0000000000000062E-2</v>
      </c>
      <c r="AK36" s="6">
        <f t="shared" si="61"/>
        <v>7.0000000000000062E-2</v>
      </c>
      <c r="AL36" s="6">
        <f t="shared" si="61"/>
        <v>7.0000000000000062E-2</v>
      </c>
      <c r="AM36" s="6">
        <f t="shared" si="61"/>
        <v>7.0000000000000062E-2</v>
      </c>
      <c r="AN36" s="6">
        <f t="shared" si="61"/>
        <v>7.0000000000000062E-2</v>
      </c>
      <c r="AO36" s="6">
        <f t="shared" si="61"/>
        <v>7.0000000000000062E-2</v>
      </c>
      <c r="AP36" s="6">
        <f t="shared" si="61"/>
        <v>7.0000000000000062E-2</v>
      </c>
      <c r="AR36" s="4" t="s">
        <v>53</v>
      </c>
      <c r="AS36" s="4">
        <f>+AS35/Main!L3-1</f>
        <v>0.54235817231230898</v>
      </c>
    </row>
    <row r="38" spans="2:45" s="1" customFormat="1" x14ac:dyDescent="0.2">
      <c r="B38" s="1" t="s">
        <v>20</v>
      </c>
      <c r="U38" s="1">
        <v>13632</v>
      </c>
      <c r="V38" s="1">
        <v>5591</v>
      </c>
      <c r="W38" s="1">
        <v>14645</v>
      </c>
      <c r="X38" s="1">
        <v>21079</v>
      </c>
      <c r="Y38" s="1">
        <v>18559</v>
      </c>
      <c r="Z38" s="1">
        <v>14050</v>
      </c>
    </row>
    <row r="39" spans="2:45" s="1" customFormat="1" x14ac:dyDescent="0.2">
      <c r="B39" s="1" t="s">
        <v>18</v>
      </c>
      <c r="U39" s="1">
        <v>-1645</v>
      </c>
      <c r="V39" s="1">
        <v>-1478</v>
      </c>
      <c r="W39" s="1">
        <v>-1550</v>
      </c>
      <c r="X39" s="1">
        <v>-1855</v>
      </c>
      <c r="Y39" s="1">
        <v>-1563</v>
      </c>
      <c r="Z39" s="1">
        <v>-1911</v>
      </c>
      <c r="AR39" s="5"/>
    </row>
    <row r="40" spans="2:45" s="1" customFormat="1" x14ac:dyDescent="0.2">
      <c r="B40" s="1" t="s">
        <v>17</v>
      </c>
      <c r="E40" s="1">
        <f t="shared" ref="E40:K40" si="62">+E38+E39</f>
        <v>0</v>
      </c>
      <c r="F40" s="1">
        <f t="shared" si="62"/>
        <v>0</v>
      </c>
      <c r="G40" s="1">
        <f t="shared" si="62"/>
        <v>0</v>
      </c>
      <c r="H40" s="1">
        <f t="shared" si="62"/>
        <v>0</v>
      </c>
      <c r="I40" s="1">
        <f t="shared" si="62"/>
        <v>0</v>
      </c>
      <c r="J40" s="1">
        <f t="shared" si="62"/>
        <v>0</v>
      </c>
      <c r="K40" s="1">
        <f t="shared" si="62"/>
        <v>0</v>
      </c>
      <c r="U40" s="1">
        <f t="shared" ref="U40:Z40" si="63">+U38+U39</f>
        <v>11987</v>
      </c>
      <c r="V40" s="1">
        <f t="shared" si="63"/>
        <v>4113</v>
      </c>
      <c r="W40" s="1">
        <f t="shared" si="63"/>
        <v>13095</v>
      </c>
      <c r="X40" s="1">
        <f t="shared" si="63"/>
        <v>19224</v>
      </c>
      <c r="Y40" s="1">
        <f t="shared" si="63"/>
        <v>16996</v>
      </c>
      <c r="Z40" s="1">
        <f t="shared" si="63"/>
        <v>12139</v>
      </c>
    </row>
    <row r="41" spans="2:45" s="1" customFormat="1" x14ac:dyDescent="0.2">
      <c r="AR41" s="4"/>
    </row>
    <row r="42" spans="2:45" s="1" customFormat="1" x14ac:dyDescent="0.2">
      <c r="B42" s="1" t="s">
        <v>15</v>
      </c>
      <c r="Z42" s="1">
        <f>+Z28</f>
        <v>10129</v>
      </c>
      <c r="AR42" s="4"/>
    </row>
    <row r="43" spans="2:45" s="1" customFormat="1" x14ac:dyDescent="0.2">
      <c r="B43" s="1" t="s">
        <v>14</v>
      </c>
      <c r="Z43" s="1">
        <f>+Z55+Z58</f>
        <v>81353</v>
      </c>
      <c r="AS43" s="4"/>
    </row>
    <row r="44" spans="2:45" s="4" customFormat="1" x14ac:dyDescent="0.2">
      <c r="B44" s="4" t="s">
        <v>13</v>
      </c>
      <c r="Z44" s="4">
        <f>+Z42/Z43</f>
        <v>0.12450677909849668</v>
      </c>
    </row>
    <row r="45" spans="2:45" s="4" customFormat="1" x14ac:dyDescent="0.2"/>
    <row r="46" spans="2:45" s="1" customFormat="1" x14ac:dyDescent="0.2">
      <c r="B46" s="1" t="s">
        <v>12</v>
      </c>
      <c r="J46" s="1">
        <f>+J47-J55</f>
        <v>-9209</v>
      </c>
      <c r="K46" s="1">
        <f>+K47-K55</f>
        <v>823</v>
      </c>
      <c r="Z46" s="1">
        <f>+Z47-Z55</f>
        <v>-9209</v>
      </c>
      <c r="AA46" s="1">
        <f t="shared" ref="AA46:AP46" si="64">+Z46+AA28</f>
        <v>2134.1360000000041</v>
      </c>
      <c r="AB46" s="1">
        <f t="shared" si="64"/>
        <v>14802.115840000008</v>
      </c>
      <c r="AC46" s="1">
        <f t="shared" si="64"/>
        <v>28870.928969600012</v>
      </c>
      <c r="AD46" s="1">
        <f t="shared" si="64"/>
        <v>44418.480473632022</v>
      </c>
      <c r="AE46" s="1">
        <f t="shared" si="64"/>
        <v>61524.299899659229</v>
      </c>
      <c r="AF46" s="1">
        <f t="shared" si="64"/>
        <v>80269.179682908012</v>
      </c>
      <c r="AG46" s="1">
        <f t="shared" si="64"/>
        <v>100734.73239353535</v>
      </c>
      <c r="AH46" s="1">
        <f t="shared" si="64"/>
        <v>123002.85459049253</v>
      </c>
      <c r="AI46" s="1">
        <f t="shared" si="64"/>
        <v>147155.08344372976</v>
      </c>
      <c r="AJ46" s="1">
        <f t="shared" si="64"/>
        <v>173271.83045975419</v>
      </c>
      <c r="AK46" s="1">
        <f t="shared" si="64"/>
        <v>201431.47458955497</v>
      </c>
      <c r="AL46" s="1">
        <f t="shared" si="64"/>
        <v>231709.29468455832</v>
      </c>
      <c r="AM46" s="1">
        <f t="shared" si="64"/>
        <v>264176.21866409061</v>
      </c>
      <c r="AN46" s="1">
        <f t="shared" si="64"/>
        <v>298897.36383151269</v>
      </c>
      <c r="AO46" s="1">
        <f t="shared" si="64"/>
        <v>335930.33948618884</v>
      </c>
      <c r="AP46" s="1">
        <f t="shared" si="64"/>
        <v>375323.27928042435</v>
      </c>
    </row>
    <row r="47" spans="2:45" s="1" customFormat="1" x14ac:dyDescent="0.2">
      <c r="B47" s="1" t="s">
        <v>11</v>
      </c>
      <c r="J47" s="1">
        <f>40640+1240</f>
        <v>41880</v>
      </c>
      <c r="K47" s="1">
        <f>52508+1110</f>
        <v>53618</v>
      </c>
      <c r="Z47" s="1">
        <f>40640+1240</f>
        <v>41880</v>
      </c>
    </row>
    <row r="48" spans="2:45" s="1" customFormat="1" x14ac:dyDescent="0.2">
      <c r="B48" s="1" t="s">
        <v>10</v>
      </c>
      <c r="J48" s="1">
        <v>59240</v>
      </c>
      <c r="K48" s="1">
        <v>58355</v>
      </c>
      <c r="Z48" s="1">
        <v>59240</v>
      </c>
    </row>
    <row r="49" spans="2:26" s="1" customFormat="1" x14ac:dyDescent="0.2">
      <c r="B49" s="1" t="s">
        <v>9</v>
      </c>
      <c r="J49" s="1">
        <f>133995+758+9038</f>
        <v>143791</v>
      </c>
      <c r="K49" s="1">
        <f>133611+776+9434</f>
        <v>143821</v>
      </c>
      <c r="Z49" s="1">
        <f>133995+758+9038</f>
        <v>143791</v>
      </c>
    </row>
    <row r="50" spans="2:26" s="1" customFormat="1" x14ac:dyDescent="0.2">
      <c r="B50" s="1" t="s">
        <v>8</v>
      </c>
      <c r="J50" s="1">
        <v>5371</v>
      </c>
      <c r="K50" s="1">
        <v>5383</v>
      </c>
      <c r="Z50" s="1">
        <v>5371</v>
      </c>
    </row>
    <row r="51" spans="2:26" s="1" customFormat="1" x14ac:dyDescent="0.2">
      <c r="B51" s="1" t="s">
        <v>3</v>
      </c>
      <c r="J51" s="1">
        <v>21179</v>
      </c>
      <c r="K51" s="1">
        <v>21067</v>
      </c>
      <c r="Z51" s="1">
        <v>21179</v>
      </c>
    </row>
    <row r="52" spans="2:26" s="3" customFormat="1" x14ac:dyDescent="0.2">
      <c r="B52" s="3" t="s">
        <v>7</v>
      </c>
      <c r="J52" s="3">
        <f>+SUM(J47:J51)</f>
        <v>271461</v>
      </c>
      <c r="K52" s="3">
        <f>+SUM(K47:K51)</f>
        <v>282244</v>
      </c>
      <c r="Z52" s="3">
        <f>+SUM(Z47:Z51)</f>
        <v>271461</v>
      </c>
    </row>
    <row r="53" spans="2:26" x14ac:dyDescent="0.2">
      <c r="B53" s="1" t="s">
        <v>6</v>
      </c>
      <c r="J53" s="1">
        <v>139413</v>
      </c>
      <c r="K53" s="1">
        <v>146396</v>
      </c>
      <c r="Z53" s="1">
        <v>139413</v>
      </c>
    </row>
    <row r="54" spans="2:26" x14ac:dyDescent="0.2">
      <c r="B54" s="1" t="s">
        <v>5</v>
      </c>
      <c r="J54" s="1">
        <v>13884</v>
      </c>
      <c r="K54" s="1">
        <v>13564</v>
      </c>
      <c r="Z54" s="1">
        <v>13884</v>
      </c>
    </row>
    <row r="55" spans="2:26" s="1" customFormat="1" x14ac:dyDescent="0.2">
      <c r="B55" s="1" t="s">
        <v>4</v>
      </c>
      <c r="J55" s="1">
        <f>1374+49715</f>
        <v>51089</v>
      </c>
      <c r="K55" s="1">
        <f>1559+51236</f>
        <v>52795</v>
      </c>
      <c r="Z55" s="1">
        <f>1374+49715</f>
        <v>51089</v>
      </c>
    </row>
    <row r="56" spans="2:26" x14ac:dyDescent="0.2">
      <c r="B56" s="1" t="s">
        <v>3</v>
      </c>
      <c r="J56" s="1">
        <v>36811</v>
      </c>
      <c r="K56" s="1">
        <v>38287</v>
      </c>
      <c r="Z56" s="1">
        <v>36811</v>
      </c>
    </row>
    <row r="57" spans="2:26" s="2" customFormat="1" x14ac:dyDescent="0.2">
      <c r="B57" s="3" t="s">
        <v>2</v>
      </c>
      <c r="J57" s="3">
        <f>+SUM(J53:J56)</f>
        <v>241197</v>
      </c>
      <c r="K57" s="3">
        <f>+SUM(K53:K56)</f>
        <v>251042</v>
      </c>
      <c r="Z57" s="3">
        <f>+SUM(Z53:Z56)</f>
        <v>241197</v>
      </c>
    </row>
    <row r="58" spans="2:26" x14ac:dyDescent="0.2">
      <c r="B58" s="1" t="s">
        <v>1</v>
      </c>
      <c r="J58" s="1">
        <v>30264</v>
      </c>
      <c r="K58" s="1">
        <v>31202</v>
      </c>
      <c r="Z58" s="1">
        <v>30264</v>
      </c>
    </row>
    <row r="59" spans="2:26" x14ac:dyDescent="0.2">
      <c r="B59" s="1" t="s">
        <v>0</v>
      </c>
      <c r="J59" s="1">
        <f>+J57+J58</f>
        <v>271461</v>
      </c>
      <c r="K59" s="1">
        <f>+K57+K58</f>
        <v>282244</v>
      </c>
      <c r="Z59" s="1">
        <f>+Z58+Z57</f>
        <v>271461</v>
      </c>
    </row>
    <row r="61" spans="2:26" x14ac:dyDescent="0.2">
      <c r="B61" s="1" t="s">
        <v>60</v>
      </c>
      <c r="G61" s="1">
        <f>+G28</f>
        <v>2437</v>
      </c>
      <c r="K61" s="1">
        <f>+K28</f>
        <v>2584</v>
      </c>
    </row>
    <row r="62" spans="2:26" s="1" customFormat="1" x14ac:dyDescent="0.2">
      <c r="B62" s="1" t="s">
        <v>61</v>
      </c>
      <c r="G62" s="1">
        <v>2437</v>
      </c>
      <c r="K62" s="1">
        <v>2584</v>
      </c>
    </row>
    <row r="63" spans="2:26" s="1" customFormat="1" x14ac:dyDescent="0.2">
      <c r="B63" s="1" t="s">
        <v>62</v>
      </c>
      <c r="G63" s="1">
        <v>1269</v>
      </c>
      <c r="K63" s="1">
        <v>1150</v>
      </c>
    </row>
    <row r="64" spans="2:26" s="1" customFormat="1" x14ac:dyDescent="0.2">
      <c r="B64" s="1" t="s">
        <v>63</v>
      </c>
      <c r="G64" s="1">
        <v>390</v>
      </c>
      <c r="K64" s="1">
        <v>433</v>
      </c>
    </row>
    <row r="65" spans="2:26" s="1" customFormat="1" x14ac:dyDescent="0.2">
      <c r="B65" s="1" t="s">
        <v>64</v>
      </c>
      <c r="G65" s="1">
        <v>176</v>
      </c>
      <c r="K65" s="1">
        <v>158</v>
      </c>
    </row>
    <row r="66" spans="2:26" s="1" customFormat="1" x14ac:dyDescent="0.2">
      <c r="B66" s="1" t="s">
        <v>65</v>
      </c>
      <c r="G66" s="1">
        <v>-134</v>
      </c>
      <c r="K66" s="1">
        <v>-20</v>
      </c>
    </row>
    <row r="67" spans="2:26" s="1" customFormat="1" x14ac:dyDescent="0.2">
      <c r="B67" s="1" t="s">
        <v>3</v>
      </c>
      <c r="G67" s="1">
        <v>-193</v>
      </c>
      <c r="K67" s="1">
        <v>213</v>
      </c>
    </row>
    <row r="68" spans="2:26" s="1" customFormat="1" x14ac:dyDescent="0.2">
      <c r="B68" s="1" t="s">
        <v>66</v>
      </c>
      <c r="G68" s="1">
        <f>195+1412</f>
        <v>1607</v>
      </c>
      <c r="K68" s="1">
        <f>18+228</f>
        <v>246</v>
      </c>
    </row>
    <row r="69" spans="2:26" s="3" customFormat="1" x14ac:dyDescent="0.2">
      <c r="B69" s="3" t="s">
        <v>20</v>
      </c>
      <c r="C69" s="3">
        <v>-377</v>
      </c>
      <c r="D69" s="3">
        <v>3546</v>
      </c>
      <c r="E69" s="3">
        <v>11790</v>
      </c>
      <c r="F69" s="3">
        <f>+Y69-SUM(C69:E69)</f>
        <v>3600</v>
      </c>
      <c r="G69" s="3">
        <f>+SUM(G62:G68)</f>
        <v>5552</v>
      </c>
      <c r="H69" s="3">
        <v>10084</v>
      </c>
      <c r="I69" s="3">
        <v>8272</v>
      </c>
      <c r="J69" s="3">
        <f>+Z69-SUM(G69:I69)</f>
        <v>-9858</v>
      </c>
      <c r="K69" s="3">
        <f>+SUM(K62:K68)</f>
        <v>4764</v>
      </c>
      <c r="X69" s="3">
        <v>21079</v>
      </c>
      <c r="Y69" s="3">
        <v>18559</v>
      </c>
      <c r="Z69" s="3">
        <v>14050</v>
      </c>
    </row>
    <row r="71" spans="2:26" s="1" customFormat="1" x14ac:dyDescent="0.2">
      <c r="B71" s="1" t="s">
        <v>67</v>
      </c>
      <c r="G71" s="1">
        <f>2+282-407</f>
        <v>-123</v>
      </c>
      <c r="K71" s="1">
        <f>285-239</f>
        <v>46</v>
      </c>
    </row>
    <row r="72" spans="2:26" s="1" customFormat="1" x14ac:dyDescent="0.2">
      <c r="B72" s="1" t="s">
        <v>68</v>
      </c>
      <c r="G72" s="1">
        <v>-2625</v>
      </c>
      <c r="K72" s="1">
        <v>835</v>
      </c>
    </row>
    <row r="73" spans="2:26" s="3" customFormat="1" x14ac:dyDescent="0.2">
      <c r="B73" s="3" t="s">
        <v>18</v>
      </c>
      <c r="C73" s="3">
        <v>-360</v>
      </c>
      <c r="D73" s="3">
        <v>-736</v>
      </c>
      <c r="E73" s="3">
        <v>-1137</v>
      </c>
      <c r="F73" s="3">
        <f>+Y73-SUM(C73:E73)</f>
        <v>670</v>
      </c>
      <c r="G73" s="3">
        <v>-396</v>
      </c>
      <c r="H73" s="3">
        <v>-961</v>
      </c>
      <c r="I73" s="3">
        <v>-1416</v>
      </c>
      <c r="J73" s="3">
        <f>+Z73-SUM(G73:I73)</f>
        <v>862</v>
      </c>
      <c r="K73" s="3">
        <v>-430</v>
      </c>
      <c r="X73" s="3">
        <v>-1855</v>
      </c>
      <c r="Y73" s="3">
        <v>-1563</v>
      </c>
      <c r="Z73" s="3">
        <v>-1911</v>
      </c>
    </row>
    <row r="74" spans="2:26" s="1" customFormat="1" x14ac:dyDescent="0.2">
      <c r="B74" s="1" t="s">
        <v>69</v>
      </c>
      <c r="G74" s="1">
        <f>+SUM(G71:G73)</f>
        <v>-3144</v>
      </c>
      <c r="K74" s="1">
        <f>+SUM(K71:K73)</f>
        <v>451</v>
      </c>
    </row>
    <row r="75" spans="2:26" s="1" customFormat="1" x14ac:dyDescent="0.2"/>
    <row r="76" spans="2:26" s="1" customFormat="1" x14ac:dyDescent="0.2">
      <c r="B76" s="1" t="s">
        <v>6</v>
      </c>
      <c r="G76" s="1">
        <v>5283</v>
      </c>
      <c r="K76" s="1">
        <v>6973</v>
      </c>
    </row>
    <row r="77" spans="2:26" s="1" customFormat="1" x14ac:dyDescent="0.2">
      <c r="B77" s="1" t="s">
        <v>4</v>
      </c>
      <c r="G77" s="1">
        <f>518+2345-1250</f>
        <v>1613</v>
      </c>
      <c r="K77" s="1">
        <f>131+4768-3534</f>
        <v>1365</v>
      </c>
    </row>
    <row r="78" spans="2:26" s="1" customFormat="1" x14ac:dyDescent="0.2">
      <c r="B78" s="1" t="s">
        <v>70</v>
      </c>
      <c r="G78" s="1">
        <v>29</v>
      </c>
      <c r="K78" s="1">
        <v>22</v>
      </c>
    </row>
    <row r="79" spans="2:26" s="1" customFormat="1" x14ac:dyDescent="0.2">
      <c r="B79" s="1" t="s">
        <v>71</v>
      </c>
      <c r="G79" s="1">
        <v>-1292</v>
      </c>
      <c r="K79" s="1">
        <v>-1208</v>
      </c>
    </row>
    <row r="80" spans="2:26" s="1" customFormat="1" x14ac:dyDescent="0.2">
      <c r="B80" s="1" t="s">
        <v>72</v>
      </c>
      <c r="G80" s="1">
        <v>-452</v>
      </c>
      <c r="K80" s="1">
        <v>-509</v>
      </c>
    </row>
    <row r="81" spans="2:26" s="1" customFormat="1" x14ac:dyDescent="0.2">
      <c r="B81" s="1" t="s">
        <v>73</v>
      </c>
      <c r="G81" s="1">
        <f>+SUM(G76:G80)</f>
        <v>5181</v>
      </c>
      <c r="K81" s="1">
        <f>+SUM(K76:K80)</f>
        <v>6643</v>
      </c>
    </row>
    <row r="82" spans="2:26" x14ac:dyDescent="0.2">
      <c r="B82" s="1" t="s">
        <v>74</v>
      </c>
      <c r="G82" s="1">
        <v>28</v>
      </c>
      <c r="K82" s="1">
        <v>10</v>
      </c>
    </row>
    <row r="83" spans="2:26" x14ac:dyDescent="0.2">
      <c r="B83" s="1" t="s">
        <v>75</v>
      </c>
      <c r="G83" s="1">
        <f>+G69+G74+G81+G82</f>
        <v>7617</v>
      </c>
      <c r="K83" s="1">
        <f>+K69+K74+K81+K82</f>
        <v>11868</v>
      </c>
    </row>
    <row r="85" spans="2:26" s="2" customFormat="1" x14ac:dyDescent="0.2">
      <c r="B85" s="2" t="s">
        <v>17</v>
      </c>
      <c r="C85" s="3">
        <f>+C69+C73</f>
        <v>-737</v>
      </c>
      <c r="D85" s="3">
        <f>+D69+D73</f>
        <v>2810</v>
      </c>
      <c r="E85" s="3">
        <f t="shared" ref="E85:K85" si="65">+E69+E73</f>
        <v>10653</v>
      </c>
      <c r="F85" s="3">
        <f t="shared" si="65"/>
        <v>4270</v>
      </c>
      <c r="G85" s="3">
        <f t="shared" si="65"/>
        <v>5156</v>
      </c>
      <c r="H85" s="3">
        <f t="shared" si="65"/>
        <v>9123</v>
      </c>
      <c r="I85" s="3">
        <f t="shared" si="65"/>
        <v>6856</v>
      </c>
      <c r="J85" s="3">
        <f t="shared" si="65"/>
        <v>-8996</v>
      </c>
      <c r="K85" s="3">
        <f t="shared" si="65"/>
        <v>4334</v>
      </c>
      <c r="X85" s="3">
        <f t="shared" ref="X85:Y85" si="66">+X69+X73</f>
        <v>19224</v>
      </c>
      <c r="Y85" s="3">
        <f t="shared" si="66"/>
        <v>16996</v>
      </c>
      <c r="Z85" s="3">
        <f>+Z69+Z73</f>
        <v>12139</v>
      </c>
    </row>
    <row r="86" spans="2:26" x14ac:dyDescent="0.2">
      <c r="B86" s="1" t="s">
        <v>108</v>
      </c>
      <c r="F86" s="1">
        <f>+SUM(C85:F85)</f>
        <v>16996</v>
      </c>
      <c r="G86" s="1">
        <f t="shared" ref="G86:J86" si="67">+SUM(D85:G85)</f>
        <v>22889</v>
      </c>
      <c r="H86" s="1">
        <f t="shared" si="67"/>
        <v>29202</v>
      </c>
      <c r="I86" s="1">
        <f t="shared" si="67"/>
        <v>25405</v>
      </c>
      <c r="J86" s="1">
        <f t="shared" si="67"/>
        <v>12139</v>
      </c>
      <c r="K86" s="1">
        <f>+SUM(H85:K85)</f>
        <v>11317</v>
      </c>
    </row>
    <row r="90" spans="2:26" x14ac:dyDescent="0.2">
      <c r="D90" s="2"/>
    </row>
    <row r="92" spans="2:26" x14ac:dyDescent="0.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2:26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6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6" x14ac:dyDescent="0.2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6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8" spans="4:20" x14ac:dyDescent="0.2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100" spans="4:20" x14ac:dyDescent="0.2">
      <c r="D100" s="2"/>
      <c r="G100" s="4"/>
    </row>
    <row r="101" spans="4:20" x14ac:dyDescent="0.2">
      <c r="G101" s="23"/>
    </row>
    <row r="102" spans="4:20" x14ac:dyDescent="0.2">
      <c r="G102" s="23"/>
    </row>
    <row r="103" spans="4:20" x14ac:dyDescent="0.2">
      <c r="G103" s="1"/>
    </row>
    <row r="104" spans="4:20" x14ac:dyDescent="0.2">
      <c r="G104" s="5"/>
    </row>
    <row r="105" spans="4:20" x14ac:dyDescent="0.2">
      <c r="G105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2025-04-09T15:44:52Z</dcterms:created>
  <dcterms:modified xsi:type="dcterms:W3CDTF">2025-04-26T12:49:36Z</dcterms:modified>
</cp:coreProperties>
</file>