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nni\Desktop\CompanyResearchModels\Tech\"/>
    </mc:Choice>
  </mc:AlternateContent>
  <xr:revisionPtr revIDLastSave="0" documentId="13_ncr:1_{35B61A80-B1E8-40FA-83DE-054064099033}" xr6:coauthVersionLast="47" xr6:coauthVersionMax="47" xr10:uidLastSave="{00000000-0000-0000-0000-000000000000}"/>
  <bookViews>
    <workbookView xWindow="0" yWindow="0" windowWidth="14355" windowHeight="15600" activeTab="1" xr2:uid="{5E51B682-65B2-43A6-9FFD-976C46DEE29D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1" l="1"/>
  <c r="D8" i="1"/>
  <c r="F4" i="1"/>
  <c r="C15" i="1"/>
  <c r="E15" i="1"/>
  <c r="I9" i="1"/>
  <c r="I7" i="1"/>
  <c r="I6" i="1"/>
  <c r="AB108" i="2"/>
  <c r="AB109" i="2"/>
  <c r="S106" i="2"/>
  <c r="R106" i="2"/>
  <c r="R39" i="2"/>
  <c r="R36" i="2"/>
  <c r="R50" i="2" s="1"/>
  <c r="S39" i="2"/>
  <c r="S36" i="2"/>
  <c r="S50" i="2" s="1"/>
  <c r="U106" i="2"/>
  <c r="T106" i="2"/>
  <c r="T39" i="2"/>
  <c r="T36" i="2"/>
  <c r="U55" i="2"/>
  <c r="T55" i="2"/>
  <c r="S55" i="2"/>
  <c r="V55" i="2"/>
  <c r="U51" i="2"/>
  <c r="U50" i="2"/>
  <c r="U42" i="2"/>
  <c r="U53" i="2" s="1"/>
  <c r="U39" i="2"/>
  <c r="U40" i="2" s="1"/>
  <c r="U36" i="2"/>
  <c r="W106" i="2"/>
  <c r="V106" i="2"/>
  <c r="V35" i="2"/>
  <c r="V49" i="2" s="1"/>
  <c r="V34" i="2"/>
  <c r="V48" i="2" s="1"/>
  <c r="W35" i="2"/>
  <c r="W49" i="2" s="1"/>
  <c r="W34" i="2"/>
  <c r="W48" i="2" s="1"/>
  <c r="X14" i="2"/>
  <c r="W14" i="2"/>
  <c r="X13" i="2"/>
  <c r="W13" i="2"/>
  <c r="X12" i="2"/>
  <c r="W12" i="2"/>
  <c r="X11" i="2"/>
  <c r="W11" i="2"/>
  <c r="X10" i="2"/>
  <c r="W10" i="2"/>
  <c r="Y106" i="2"/>
  <c r="X106" i="2"/>
  <c r="Y35" i="2"/>
  <c r="Y49" i="2" s="1"/>
  <c r="X35" i="2"/>
  <c r="X49" i="2" s="1"/>
  <c r="Y34" i="2"/>
  <c r="Y48" i="2" s="1"/>
  <c r="X34" i="2"/>
  <c r="X48" i="2" s="1"/>
  <c r="Z14" i="2"/>
  <c r="Y14" i="2"/>
  <c r="Z13" i="2"/>
  <c r="Y13" i="2"/>
  <c r="Z12" i="2"/>
  <c r="Y12" i="2"/>
  <c r="Z11" i="2"/>
  <c r="Y11" i="2"/>
  <c r="Z10" i="2"/>
  <c r="Y10" i="2"/>
  <c r="Z106" i="2"/>
  <c r="AA106" i="2"/>
  <c r="Z35" i="2"/>
  <c r="Z49" i="2" s="1"/>
  <c r="Z34" i="2"/>
  <c r="Z48" i="2" s="1"/>
  <c r="AA34" i="2"/>
  <c r="AA48" i="2" s="1"/>
  <c r="AA35" i="2"/>
  <c r="AA49" i="2" s="1"/>
  <c r="AA26" i="2"/>
  <c r="Z26" i="2"/>
  <c r="Y26" i="2"/>
  <c r="X26" i="2"/>
  <c r="W26" i="2"/>
  <c r="AA25" i="2"/>
  <c r="Z25" i="2"/>
  <c r="Y25" i="2"/>
  <c r="X25" i="2"/>
  <c r="W25" i="2"/>
  <c r="AA24" i="2"/>
  <c r="Z24" i="2"/>
  <c r="Y24" i="2"/>
  <c r="X24" i="2"/>
  <c r="W24" i="2"/>
  <c r="AA23" i="2"/>
  <c r="Z23" i="2"/>
  <c r="Y23" i="2"/>
  <c r="X23" i="2"/>
  <c r="W23" i="2"/>
  <c r="AA22" i="2"/>
  <c r="Z22" i="2"/>
  <c r="Y22" i="2"/>
  <c r="X22" i="2"/>
  <c r="W22" i="2"/>
  <c r="AA14" i="2"/>
  <c r="AB106" i="2"/>
  <c r="AA8" i="2"/>
  <c r="AA7" i="2"/>
  <c r="AA13" i="2" s="1"/>
  <c r="AA6" i="2"/>
  <c r="AA12" i="2" s="1"/>
  <c r="AA5" i="2"/>
  <c r="AA11" i="2" s="1"/>
  <c r="AA4" i="2"/>
  <c r="AA10" i="2" s="1"/>
  <c r="AB14" i="2"/>
  <c r="AB20" i="2"/>
  <c r="AB26" i="2" s="1"/>
  <c r="AB19" i="2"/>
  <c r="AB25" i="2" s="1"/>
  <c r="AB18" i="2"/>
  <c r="AB24" i="2" s="1"/>
  <c r="AB17" i="2"/>
  <c r="AB23" i="2" s="1"/>
  <c r="AB16" i="2"/>
  <c r="AB22" i="2" s="1"/>
  <c r="AB46" i="2"/>
  <c r="AB43" i="2"/>
  <c r="AB41" i="2"/>
  <c r="AB38" i="2"/>
  <c r="AB37" i="2"/>
  <c r="AB33" i="2"/>
  <c r="AB29" i="2"/>
  <c r="AB35" i="2" s="1"/>
  <c r="AB49" i="2" s="1"/>
  <c r="AB28" i="2"/>
  <c r="AB34" i="2" s="1"/>
  <c r="AB48" i="2" s="1"/>
  <c r="AA30" i="2"/>
  <c r="O26" i="2"/>
  <c r="O25" i="2"/>
  <c r="O24" i="2"/>
  <c r="O23" i="2"/>
  <c r="O22" i="2"/>
  <c r="O11" i="2"/>
  <c r="O10" i="2"/>
  <c r="O14" i="2"/>
  <c r="O13" i="2"/>
  <c r="O12" i="2"/>
  <c r="R40" i="2" l="1"/>
  <c r="S40" i="2"/>
  <c r="T40" i="2"/>
  <c r="T50" i="2"/>
  <c r="T51" i="2"/>
  <c r="T42" i="2"/>
  <c r="U44" i="2"/>
  <c r="AB10" i="2"/>
  <c r="AB13" i="2"/>
  <c r="AB11" i="2"/>
  <c r="AB39" i="2"/>
  <c r="AB12" i="2"/>
  <c r="AB30" i="2"/>
  <c r="R51" i="2" l="1"/>
  <c r="R42" i="2"/>
  <c r="S51" i="2"/>
  <c r="S42" i="2"/>
  <c r="T53" i="2"/>
  <c r="T44" i="2"/>
  <c r="U52" i="2"/>
  <c r="U45" i="2"/>
  <c r="AB55" i="2"/>
  <c r="AB36" i="2"/>
  <c r="R53" i="2" l="1"/>
  <c r="R44" i="2"/>
  <c r="S53" i="2"/>
  <c r="S44" i="2"/>
  <c r="T52" i="2"/>
  <c r="T45" i="2"/>
  <c r="AB50" i="2"/>
  <c r="AB40" i="2"/>
  <c r="R52" i="2" l="1"/>
  <c r="R45" i="2"/>
  <c r="S52" i="2"/>
  <c r="S45" i="2"/>
  <c r="AB42" i="2"/>
  <c r="AB51" i="2"/>
  <c r="AB44" i="2" l="1"/>
  <c r="AB53" i="2"/>
  <c r="AB52" i="2" l="1"/>
  <c r="AB45" i="2"/>
  <c r="O100" i="2" l="1"/>
  <c r="O102" i="2" s="1"/>
  <c r="O92" i="2"/>
  <c r="O95" i="2" s="1"/>
  <c r="O90" i="2" l="1"/>
  <c r="O89" i="2"/>
  <c r="O69" i="2"/>
  <c r="O58" i="2"/>
  <c r="O65" i="2" s="1"/>
  <c r="O106" i="2" l="1"/>
  <c r="O104" i="2"/>
  <c r="O57" i="2"/>
  <c r="AB57" i="2" s="1"/>
  <c r="O71" i="2"/>
  <c r="O73" i="2" s="1"/>
  <c r="I4" i="1"/>
  <c r="O39" i="2"/>
  <c r="O35" i="2"/>
  <c r="O49" i="2" s="1"/>
  <c r="O34" i="2"/>
  <c r="O48" i="2" s="1"/>
  <c r="O33" i="2"/>
  <c r="O30" i="2"/>
  <c r="N69" i="2"/>
  <c r="N71" i="2" s="1"/>
  <c r="N73" i="2" s="1"/>
  <c r="N58" i="2"/>
  <c r="N65" i="2" s="1"/>
  <c r="M69" i="2"/>
  <c r="M71" i="2" s="1"/>
  <c r="M73" i="2" s="1"/>
  <c r="M58" i="2"/>
  <c r="M65" i="2" s="1"/>
  <c r="N39" i="2"/>
  <c r="N35" i="2"/>
  <c r="N49" i="2" s="1"/>
  <c r="N34" i="2"/>
  <c r="N48" i="2" s="1"/>
  <c r="N33" i="2"/>
  <c r="N30" i="2"/>
  <c r="J33" i="2"/>
  <c r="J35" i="2"/>
  <c r="J34" i="2"/>
  <c r="I33" i="2"/>
  <c r="I35" i="2"/>
  <c r="I34" i="2"/>
  <c r="K35" i="2"/>
  <c r="K34" i="2"/>
  <c r="H35" i="2"/>
  <c r="H34" i="2"/>
  <c r="H33" i="2"/>
  <c r="L33" i="2"/>
  <c r="L34" i="2"/>
  <c r="L35" i="2"/>
  <c r="G34" i="2"/>
  <c r="G35" i="2"/>
  <c r="G33" i="2"/>
  <c r="K33" i="2"/>
  <c r="M33" i="2"/>
  <c r="G26" i="2"/>
  <c r="G25" i="2"/>
  <c r="G24" i="2"/>
  <c r="G23" i="2"/>
  <c r="G22" i="2"/>
  <c r="G14" i="2"/>
  <c r="G13" i="2"/>
  <c r="G12" i="2"/>
  <c r="G11" i="2"/>
  <c r="G10" i="2"/>
  <c r="K26" i="2"/>
  <c r="K25" i="2"/>
  <c r="K24" i="2"/>
  <c r="K23" i="2"/>
  <c r="K22" i="2"/>
  <c r="K14" i="2"/>
  <c r="K13" i="2"/>
  <c r="K12" i="2"/>
  <c r="K11" i="2"/>
  <c r="K10" i="2"/>
  <c r="D4" i="1"/>
  <c r="F14" i="1"/>
  <c r="I26" i="2"/>
  <c r="I25" i="2"/>
  <c r="I24" i="2"/>
  <c r="I23" i="2"/>
  <c r="I22" i="2"/>
  <c r="I14" i="2"/>
  <c r="I13" i="2"/>
  <c r="I12" i="2"/>
  <c r="I11" i="2"/>
  <c r="I10" i="2"/>
  <c r="M14" i="2"/>
  <c r="M13" i="2"/>
  <c r="M12" i="2"/>
  <c r="M11" i="2"/>
  <c r="M10" i="2"/>
  <c r="M26" i="2"/>
  <c r="M25" i="2"/>
  <c r="M24" i="2"/>
  <c r="M23" i="2"/>
  <c r="M22" i="2"/>
  <c r="N22" i="2"/>
  <c r="J26" i="2"/>
  <c r="J25" i="2"/>
  <c r="J24" i="2"/>
  <c r="J23" i="2"/>
  <c r="J22" i="2"/>
  <c r="N10" i="2"/>
  <c r="N26" i="2"/>
  <c r="N25" i="2"/>
  <c r="N24" i="2"/>
  <c r="N23" i="2"/>
  <c r="J14" i="2"/>
  <c r="J13" i="2"/>
  <c r="J12" i="2"/>
  <c r="J11" i="2"/>
  <c r="J10" i="2"/>
  <c r="N14" i="2"/>
  <c r="N13" i="2"/>
  <c r="N12" i="2"/>
  <c r="N11" i="2"/>
  <c r="F10" i="1" l="1"/>
  <c r="D10" i="1"/>
  <c r="N57" i="2"/>
  <c r="O36" i="2"/>
  <c r="M57" i="2"/>
  <c r="N36" i="2"/>
  <c r="F5" i="1"/>
  <c r="F6" i="1"/>
  <c r="F7" i="1"/>
  <c r="F8" i="1"/>
  <c r="F11" i="1"/>
  <c r="F12" i="1"/>
  <c r="F13" i="1"/>
  <c r="O50" i="2" l="1"/>
  <c r="O40" i="2"/>
  <c r="N50" i="2"/>
  <c r="N40" i="2"/>
  <c r="O51" i="2" l="1"/>
  <c r="O42" i="2"/>
  <c r="N51" i="2"/>
  <c r="N42" i="2"/>
  <c r="O53" i="2" l="1"/>
  <c r="O44" i="2"/>
  <c r="O78" i="2" s="1"/>
  <c r="N53" i="2"/>
  <c r="N44" i="2"/>
  <c r="N78" i="2" s="1"/>
  <c r="L49" i="2"/>
  <c r="K49" i="2"/>
  <c r="J49" i="2"/>
  <c r="I49" i="2"/>
  <c r="H49" i="2"/>
  <c r="G49" i="2"/>
  <c r="F49" i="2"/>
  <c r="E49" i="2"/>
  <c r="D49" i="2"/>
  <c r="L48" i="2"/>
  <c r="K48" i="2"/>
  <c r="J48" i="2"/>
  <c r="I48" i="2"/>
  <c r="H48" i="2"/>
  <c r="G48" i="2"/>
  <c r="F48" i="2"/>
  <c r="E48" i="2"/>
  <c r="D48" i="2"/>
  <c r="M35" i="2"/>
  <c r="M49" i="2" s="1"/>
  <c r="M34" i="2"/>
  <c r="M48" i="2" s="1"/>
  <c r="M39" i="2"/>
  <c r="M30" i="2"/>
  <c r="M36" i="2" s="1"/>
  <c r="L101" i="2"/>
  <c r="L100" i="2"/>
  <c r="L99" i="2"/>
  <c r="L98" i="2"/>
  <c r="L97" i="2"/>
  <c r="L94" i="2"/>
  <c r="L93" i="2"/>
  <c r="L88" i="2"/>
  <c r="H88" i="2"/>
  <c r="I88" i="2" s="1"/>
  <c r="J88" i="2" s="1"/>
  <c r="H87" i="2"/>
  <c r="I87" i="2" s="1"/>
  <c r="J87" i="2" s="1"/>
  <c r="H86" i="2"/>
  <c r="I86" i="2" s="1"/>
  <c r="H85" i="2"/>
  <c r="I85" i="2" s="1"/>
  <c r="H84" i="2"/>
  <c r="I84" i="2" s="1"/>
  <c r="H83" i="2"/>
  <c r="I83" i="2" s="1"/>
  <c r="L87" i="2"/>
  <c r="L86" i="2"/>
  <c r="L85" i="2"/>
  <c r="L84" i="2"/>
  <c r="L83" i="2"/>
  <c r="G90" i="2"/>
  <c r="G106" i="2" s="1"/>
  <c r="G89" i="2"/>
  <c r="K90" i="2"/>
  <c r="K106" i="2" s="1"/>
  <c r="K89" i="2"/>
  <c r="L82" i="2"/>
  <c r="L81" i="2"/>
  <c r="L80" i="2"/>
  <c r="L79" i="2"/>
  <c r="L69" i="2"/>
  <c r="L71" i="2" s="1"/>
  <c r="L73" i="2" s="1"/>
  <c r="G71" i="2"/>
  <c r="K67" i="2"/>
  <c r="J67" i="2"/>
  <c r="I67" i="2"/>
  <c r="H67" i="2"/>
  <c r="F67" i="2"/>
  <c r="G65" i="2"/>
  <c r="K62" i="2"/>
  <c r="J62" i="2"/>
  <c r="I62" i="2"/>
  <c r="H62" i="2"/>
  <c r="F62" i="2"/>
  <c r="L58" i="2"/>
  <c r="D7" i="1"/>
  <c r="D5" i="1"/>
  <c r="H14" i="2"/>
  <c r="H13" i="2"/>
  <c r="H12" i="2"/>
  <c r="H11" i="2"/>
  <c r="H10" i="2"/>
  <c r="L14" i="2"/>
  <c r="L13" i="2"/>
  <c r="L12" i="2"/>
  <c r="L11" i="2"/>
  <c r="L10" i="2"/>
  <c r="H26" i="2"/>
  <c r="H25" i="2"/>
  <c r="H24" i="2"/>
  <c r="H23" i="2"/>
  <c r="H22" i="2"/>
  <c r="L26" i="2"/>
  <c r="L25" i="2"/>
  <c r="L24" i="2"/>
  <c r="L23" i="2"/>
  <c r="L22" i="2"/>
  <c r="D14" i="1"/>
  <c r="L39" i="2"/>
  <c r="L30" i="2"/>
  <c r="L36" i="2" s="1"/>
  <c r="V39" i="2"/>
  <c r="V30" i="2"/>
  <c r="V36" i="2" s="1"/>
  <c r="W39" i="2"/>
  <c r="W30" i="2"/>
  <c r="W36" i="2" s="1"/>
  <c r="X39" i="2"/>
  <c r="X30" i="2"/>
  <c r="X36" i="2" s="1"/>
  <c r="Y39" i="2"/>
  <c r="Y30" i="2"/>
  <c r="Y36" i="2" s="1"/>
  <c r="Z39" i="2"/>
  <c r="Z30" i="2"/>
  <c r="Z36" i="2" s="1"/>
  <c r="AA39" i="2"/>
  <c r="Y3" i="2"/>
  <c r="Z3" i="2" s="1"/>
  <c r="AA3" i="2" s="1"/>
  <c r="AB3" i="2" s="1"/>
  <c r="AC3" i="2" s="1"/>
  <c r="AD3" i="2" s="1"/>
  <c r="AE3" i="2" s="1"/>
  <c r="AF3" i="2" s="1"/>
  <c r="AG3" i="2" s="1"/>
  <c r="AH3" i="2" s="1"/>
  <c r="AI3" i="2" s="1"/>
  <c r="AJ3" i="2" s="1"/>
  <c r="AK3" i="2" s="1"/>
  <c r="AL3" i="2" s="1"/>
  <c r="AM3" i="2" s="1"/>
  <c r="AN3" i="2" s="1"/>
  <c r="AO3" i="2" s="1"/>
  <c r="AP3" i="2" s="1"/>
  <c r="AQ3" i="2" s="1"/>
  <c r="AR3" i="2" s="1"/>
  <c r="H101" i="2"/>
  <c r="I101" i="2" s="1"/>
  <c r="H99" i="2"/>
  <c r="I99" i="2" s="1"/>
  <c r="J99" i="2" s="1"/>
  <c r="H98" i="2"/>
  <c r="I98" i="2" s="1"/>
  <c r="H97" i="2"/>
  <c r="I97" i="2" s="1"/>
  <c r="H94" i="2"/>
  <c r="H93" i="2"/>
  <c r="H82" i="2"/>
  <c r="I82" i="2" s="1"/>
  <c r="H81" i="2"/>
  <c r="I81" i="2" s="1"/>
  <c r="H80" i="2"/>
  <c r="I80" i="2" s="1"/>
  <c r="J80" i="2" s="1"/>
  <c r="H79" i="2"/>
  <c r="I79" i="2" s="1"/>
  <c r="G100" i="2"/>
  <c r="G102" i="2" s="1"/>
  <c r="G92" i="2"/>
  <c r="G95" i="2" s="1"/>
  <c r="K102" i="2"/>
  <c r="K92" i="2"/>
  <c r="H69" i="2"/>
  <c r="H58" i="2"/>
  <c r="I69" i="2"/>
  <c r="I58" i="2"/>
  <c r="F69" i="2"/>
  <c r="F58" i="2"/>
  <c r="J69" i="2"/>
  <c r="J58" i="2"/>
  <c r="K69" i="2"/>
  <c r="K58" i="2"/>
  <c r="D39" i="2"/>
  <c r="D30" i="2"/>
  <c r="D36" i="2" s="1"/>
  <c r="H39" i="2"/>
  <c r="H30" i="2"/>
  <c r="E39" i="2"/>
  <c r="E30" i="2"/>
  <c r="E36" i="2" s="1"/>
  <c r="I39" i="2"/>
  <c r="I30" i="2"/>
  <c r="F39" i="2"/>
  <c r="F30" i="2"/>
  <c r="F36" i="2" s="1"/>
  <c r="J39" i="2"/>
  <c r="J30" i="2"/>
  <c r="G39" i="2"/>
  <c r="G30" i="2"/>
  <c r="G36" i="2" s="1"/>
  <c r="G50" i="2" s="1"/>
  <c r="K39" i="2"/>
  <c r="K30" i="2"/>
  <c r="I5" i="1"/>
  <c r="K95" i="2" l="1"/>
  <c r="M83" i="2"/>
  <c r="N83" i="2" s="1"/>
  <c r="M93" i="2"/>
  <c r="N93" i="2"/>
  <c r="K36" i="2"/>
  <c r="K40" i="2" s="1"/>
  <c r="O55" i="2"/>
  <c r="M88" i="2"/>
  <c r="N88" i="2" s="1"/>
  <c r="M84" i="2"/>
  <c r="N84" i="2" s="1"/>
  <c r="M94" i="2"/>
  <c r="N94" i="2"/>
  <c r="J36" i="2"/>
  <c r="J40" i="2" s="1"/>
  <c r="N55" i="2"/>
  <c r="M85" i="2"/>
  <c r="N85" i="2" s="1"/>
  <c r="M97" i="2"/>
  <c r="N97" i="2"/>
  <c r="M98" i="2"/>
  <c r="N98" i="2" s="1"/>
  <c r="M87" i="2"/>
  <c r="N87" i="2" s="1"/>
  <c r="M80" i="2"/>
  <c r="N80" i="2" s="1"/>
  <c r="M100" i="2"/>
  <c r="N100" i="2" s="1"/>
  <c r="F65" i="2"/>
  <c r="M81" i="2"/>
  <c r="N81" i="2" s="1"/>
  <c r="M101" i="2"/>
  <c r="N101" i="2" s="1"/>
  <c r="M82" i="2"/>
  <c r="N82" i="2" s="1"/>
  <c r="M86" i="2"/>
  <c r="N86" i="2" s="1"/>
  <c r="M79" i="2"/>
  <c r="N79" i="2" s="1"/>
  <c r="M99" i="2"/>
  <c r="N99" i="2" s="1"/>
  <c r="O52" i="2"/>
  <c r="O45" i="2"/>
  <c r="N52" i="2"/>
  <c r="N45" i="2"/>
  <c r="I65" i="2"/>
  <c r="L90" i="2"/>
  <c r="L106" i="2" s="1"/>
  <c r="L102" i="2"/>
  <c r="J86" i="2"/>
  <c r="H65" i="2"/>
  <c r="I90" i="2"/>
  <c r="L89" i="2"/>
  <c r="I89" i="2"/>
  <c r="J83" i="2"/>
  <c r="J84" i="2"/>
  <c r="L92" i="2"/>
  <c r="L95" i="2" s="1"/>
  <c r="H89" i="2"/>
  <c r="J85" i="2"/>
  <c r="H90" i="2"/>
  <c r="H106" i="2" s="1"/>
  <c r="M55" i="2"/>
  <c r="L57" i="2"/>
  <c r="K71" i="2"/>
  <c r="I71" i="2"/>
  <c r="H71" i="2"/>
  <c r="L65" i="2"/>
  <c r="J71" i="2"/>
  <c r="F71" i="2"/>
  <c r="J79" i="2"/>
  <c r="K65" i="2"/>
  <c r="J65" i="2"/>
  <c r="I8" i="1"/>
  <c r="D11" i="1"/>
  <c r="D12" i="1"/>
  <c r="D13" i="1"/>
  <c r="L55" i="2"/>
  <c r="L50" i="2"/>
  <c r="AA55" i="2"/>
  <c r="W55" i="2"/>
  <c r="X55" i="2"/>
  <c r="Y55" i="2"/>
  <c r="Z55" i="2"/>
  <c r="V50" i="2"/>
  <c r="V40" i="2"/>
  <c r="W50" i="2"/>
  <c r="W40" i="2"/>
  <c r="X50" i="2"/>
  <c r="X40" i="2"/>
  <c r="Y50" i="2"/>
  <c r="Y40" i="2"/>
  <c r="Z50" i="2"/>
  <c r="Z40" i="2"/>
  <c r="AA36" i="2"/>
  <c r="J57" i="2"/>
  <c r="K57" i="2"/>
  <c r="I93" i="2"/>
  <c r="J93" i="2" s="1"/>
  <c r="J97" i="2"/>
  <c r="H100" i="2"/>
  <c r="J98" i="2"/>
  <c r="I94" i="2"/>
  <c r="J94" i="2" s="1"/>
  <c r="F57" i="2"/>
  <c r="J81" i="2"/>
  <c r="J101" i="2"/>
  <c r="J82" i="2"/>
  <c r="H92" i="2"/>
  <c r="I92" i="2" s="1"/>
  <c r="K104" i="2"/>
  <c r="G104" i="2"/>
  <c r="H57" i="2"/>
  <c r="I57" i="2"/>
  <c r="K55" i="2"/>
  <c r="K50" i="2"/>
  <c r="J55" i="2"/>
  <c r="H55" i="2"/>
  <c r="D50" i="2"/>
  <c r="D40" i="2"/>
  <c r="H36" i="2"/>
  <c r="E40" i="2"/>
  <c r="E50" i="2"/>
  <c r="I55" i="2"/>
  <c r="I36" i="2"/>
  <c r="F50" i="2"/>
  <c r="F40" i="2"/>
  <c r="G40" i="2"/>
  <c r="J50" i="2" l="1"/>
  <c r="N102" i="2"/>
  <c r="M102" i="2"/>
  <c r="N89" i="2"/>
  <c r="M89" i="2"/>
  <c r="M90" i="2"/>
  <c r="M92" i="2"/>
  <c r="M95" i="2" s="1"/>
  <c r="N90" i="2"/>
  <c r="L104" i="2"/>
  <c r="J90" i="2"/>
  <c r="J106" i="2" s="1"/>
  <c r="J89" i="2"/>
  <c r="I106" i="2"/>
  <c r="M50" i="2"/>
  <c r="M40" i="2"/>
  <c r="L40" i="2"/>
  <c r="V51" i="2"/>
  <c r="V42" i="2"/>
  <c r="W42" i="2"/>
  <c r="W51" i="2"/>
  <c r="X51" i="2"/>
  <c r="X42" i="2"/>
  <c r="Y51" i="2"/>
  <c r="Y42" i="2"/>
  <c r="Z51" i="2"/>
  <c r="Z42" i="2"/>
  <c r="AA40" i="2"/>
  <c r="AA50" i="2"/>
  <c r="F72" i="2"/>
  <c r="F73" i="2" s="1"/>
  <c r="I72" i="2"/>
  <c r="I73" i="2" s="1"/>
  <c r="I95" i="2"/>
  <c r="K72" i="2"/>
  <c r="K73" i="2" s="1"/>
  <c r="I100" i="2"/>
  <c r="I102" i="2" s="1"/>
  <c r="H102" i="2"/>
  <c r="J92" i="2"/>
  <c r="J95" i="2" s="1"/>
  <c r="H95" i="2"/>
  <c r="H72" i="2"/>
  <c r="H73" i="2" s="1"/>
  <c r="J72" i="2"/>
  <c r="J73" i="2" s="1"/>
  <c r="K51" i="2"/>
  <c r="K42" i="2"/>
  <c r="D42" i="2"/>
  <c r="D51" i="2"/>
  <c r="H40" i="2"/>
  <c r="H50" i="2"/>
  <c r="E42" i="2"/>
  <c r="E51" i="2"/>
  <c r="I50" i="2"/>
  <c r="I40" i="2"/>
  <c r="F51" i="2"/>
  <c r="F42" i="2"/>
  <c r="J42" i="2"/>
  <c r="J51" i="2"/>
  <c r="G42" i="2"/>
  <c r="G51" i="2"/>
  <c r="N106" i="2" l="1"/>
  <c r="M106" i="2"/>
  <c r="M104" i="2"/>
  <c r="N92" i="2"/>
  <c r="N95" i="2" s="1"/>
  <c r="N104" i="2" s="1"/>
  <c r="J107" i="2"/>
  <c r="K107" i="2"/>
  <c r="L107" i="2"/>
  <c r="M51" i="2"/>
  <c r="M42" i="2"/>
  <c r="L51" i="2"/>
  <c r="L42" i="2"/>
  <c r="V53" i="2"/>
  <c r="V44" i="2"/>
  <c r="W53" i="2"/>
  <c r="W44" i="2"/>
  <c r="X53" i="2"/>
  <c r="X44" i="2"/>
  <c r="Y53" i="2"/>
  <c r="Y44" i="2"/>
  <c r="Z53" i="2"/>
  <c r="Z44" i="2"/>
  <c r="AA51" i="2"/>
  <c r="AA42" i="2"/>
  <c r="H104" i="2"/>
  <c r="J100" i="2"/>
  <c r="J102" i="2" s="1"/>
  <c r="I104" i="2"/>
  <c r="K53" i="2"/>
  <c r="K44" i="2"/>
  <c r="D44" i="2"/>
  <c r="D53" i="2"/>
  <c r="H42" i="2"/>
  <c r="H51" i="2"/>
  <c r="E53" i="2"/>
  <c r="E44" i="2"/>
  <c r="I51" i="2"/>
  <c r="I42" i="2"/>
  <c r="F53" i="2"/>
  <c r="F44" i="2"/>
  <c r="J53" i="2"/>
  <c r="J44" i="2"/>
  <c r="G53" i="2"/>
  <c r="G44" i="2"/>
  <c r="M107" i="2" l="1"/>
  <c r="O107" i="2"/>
  <c r="J78" i="2"/>
  <c r="K78" i="2"/>
  <c r="N107" i="2"/>
  <c r="I10" i="1" s="1"/>
  <c r="M53" i="2"/>
  <c r="M44" i="2"/>
  <c r="M78" i="2" s="1"/>
  <c r="L53" i="2"/>
  <c r="L44" i="2"/>
  <c r="G78" i="2"/>
  <c r="G75" i="2"/>
  <c r="V52" i="2"/>
  <c r="V45" i="2"/>
  <c r="W52" i="2"/>
  <c r="W45" i="2"/>
  <c r="X52" i="2"/>
  <c r="X45" i="2"/>
  <c r="Y52" i="2"/>
  <c r="Y45" i="2"/>
  <c r="Z52" i="2"/>
  <c r="Z45" i="2"/>
  <c r="AA53" i="2"/>
  <c r="AA44" i="2"/>
  <c r="J104" i="2"/>
  <c r="K45" i="2"/>
  <c r="K52" i="2"/>
  <c r="D52" i="2"/>
  <c r="D45" i="2"/>
  <c r="H53" i="2"/>
  <c r="H44" i="2"/>
  <c r="H75" i="2" s="1"/>
  <c r="H76" i="2" s="1"/>
  <c r="E52" i="2"/>
  <c r="E45" i="2"/>
  <c r="I44" i="2"/>
  <c r="I53" i="2"/>
  <c r="F52" i="2"/>
  <c r="F45" i="2"/>
  <c r="J52" i="2"/>
  <c r="J45" i="2"/>
  <c r="G52" i="2"/>
  <c r="G45" i="2"/>
  <c r="L78" i="2" l="1"/>
  <c r="O75" i="2"/>
  <c r="O76" i="2" s="1"/>
  <c r="N75" i="2"/>
  <c r="N76" i="2" s="1"/>
  <c r="M75" i="2"/>
  <c r="M76" i="2" s="1"/>
  <c r="M52" i="2"/>
  <c r="M45" i="2"/>
  <c r="I78" i="2"/>
  <c r="L75" i="2"/>
  <c r="L76" i="2" s="1"/>
  <c r="I75" i="2"/>
  <c r="I76" i="2" s="1"/>
  <c r="L52" i="2"/>
  <c r="L45" i="2"/>
  <c r="H78" i="2"/>
  <c r="K75" i="2"/>
  <c r="K76" i="2" s="1"/>
  <c r="J75" i="2"/>
  <c r="J76" i="2" s="1"/>
  <c r="AA52" i="2"/>
  <c r="AA45" i="2"/>
  <c r="H52" i="2"/>
  <c r="H45" i="2"/>
  <c r="I52" i="2"/>
  <c r="I4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Fidel</author>
  </authors>
  <commentList>
    <comment ref="B97" authorId="0" shapeId="0" xr:uid="{08749D80-1C89-4950-8ABB-05E6B994879C}">
      <text>
        <r>
          <rPr>
            <b/>
            <sz val="9"/>
            <color indexed="81"/>
            <rFont val="Tahoma"/>
            <charset val="1"/>
          </rPr>
          <t>Fidel:</t>
        </r>
        <r>
          <rPr>
            <sz val="9"/>
            <color indexed="81"/>
            <rFont val="Tahoma"/>
            <charset val="1"/>
          </rPr>
          <t xml:space="preserve">
Payments for taxes related to net share settlement of equity awards</t>
        </r>
      </text>
    </comment>
  </commentList>
</comments>
</file>

<file path=xl/sharedStrings.xml><?xml version="1.0" encoding="utf-8"?>
<sst xmlns="http://schemas.openxmlformats.org/spreadsheetml/2006/main" count="149" uniqueCount="114">
  <si>
    <t>(AAPL)</t>
  </si>
  <si>
    <t>(in millions)</t>
  </si>
  <si>
    <t>Price</t>
  </si>
  <si>
    <t>Shares</t>
  </si>
  <si>
    <t>MC</t>
  </si>
  <si>
    <t>Cash</t>
  </si>
  <si>
    <t>Debt</t>
  </si>
  <si>
    <t>EV</t>
  </si>
  <si>
    <t>Products</t>
  </si>
  <si>
    <t>Services</t>
  </si>
  <si>
    <t>Revenue</t>
  </si>
  <si>
    <t>COGS</t>
  </si>
  <si>
    <t>Gross profit</t>
  </si>
  <si>
    <t>R&amp;D</t>
  </si>
  <si>
    <t>SG&amp;A</t>
  </si>
  <si>
    <t>Operating expense</t>
  </si>
  <si>
    <t>Operating income</t>
  </si>
  <si>
    <t>Interest</t>
  </si>
  <si>
    <t>Taxes</t>
  </si>
  <si>
    <t>Net income</t>
  </si>
  <si>
    <t>EPS</t>
  </si>
  <si>
    <t>Gross margin</t>
  </si>
  <si>
    <t>Operating margin</t>
  </si>
  <si>
    <t>Net margin</t>
  </si>
  <si>
    <t>Tax rate</t>
  </si>
  <si>
    <t>Revenue y/y</t>
  </si>
  <si>
    <t>Net cash</t>
  </si>
  <si>
    <t>A/R</t>
  </si>
  <si>
    <t>Vendor</t>
  </si>
  <si>
    <t>Inventories</t>
  </si>
  <si>
    <t>Securities</t>
  </si>
  <si>
    <t>PP&amp;E</t>
  </si>
  <si>
    <t>Total assets</t>
  </si>
  <si>
    <t>A/P</t>
  </si>
  <si>
    <t>D/R</t>
  </si>
  <si>
    <t>Total liabilities</t>
  </si>
  <si>
    <t>S/E</t>
  </si>
  <si>
    <t>L+S/E</t>
  </si>
  <si>
    <t>Apple</t>
  </si>
  <si>
    <t>Model NI</t>
  </si>
  <si>
    <t>Reported NI</t>
  </si>
  <si>
    <t>D&amp;A</t>
  </si>
  <si>
    <t>SBC</t>
  </si>
  <si>
    <t>Other</t>
  </si>
  <si>
    <t>Working capital</t>
  </si>
  <si>
    <t>CFFO</t>
  </si>
  <si>
    <t>CapEx</t>
  </si>
  <si>
    <t>CFFI</t>
  </si>
  <si>
    <t>Dividends</t>
  </si>
  <si>
    <t>Buybacks</t>
  </si>
  <si>
    <t>CFFF</t>
  </si>
  <si>
    <t>CIC</t>
  </si>
  <si>
    <t>Mac</t>
  </si>
  <si>
    <t>iPad</t>
  </si>
  <si>
    <t>iPhone</t>
  </si>
  <si>
    <t>Wearables, Home and Accesories</t>
  </si>
  <si>
    <t>Smartwatches</t>
  </si>
  <si>
    <t>Wireless headphones</t>
  </si>
  <si>
    <t>Apple TV</t>
  </si>
  <si>
    <t>Advertising</t>
  </si>
  <si>
    <t>Applecare</t>
  </si>
  <si>
    <t>Digital content</t>
  </si>
  <si>
    <t>Cloud services</t>
  </si>
  <si>
    <t>Payment services</t>
  </si>
  <si>
    <t>161,000 full-time equivalent employees</t>
  </si>
  <si>
    <t>Americas</t>
  </si>
  <si>
    <t>Europe</t>
  </si>
  <si>
    <t>Greater China</t>
  </si>
  <si>
    <t>Japan</t>
  </si>
  <si>
    <t>Rest of Asia Pacific</t>
  </si>
  <si>
    <t>Cash flow TTM</t>
  </si>
  <si>
    <t>Ipad</t>
  </si>
  <si>
    <t>Wearables, Home and Accessories</t>
  </si>
  <si>
    <t>%Rev</t>
  </si>
  <si>
    <t>Americas y/y</t>
  </si>
  <si>
    <t>Europe y/y</t>
  </si>
  <si>
    <t>Greater China y/y</t>
  </si>
  <si>
    <t xml:space="preserve">Japan y/y </t>
  </si>
  <si>
    <t>Rest of Asia Pacific y/y</t>
  </si>
  <si>
    <t>iPhone y/y</t>
  </si>
  <si>
    <t>Mac y/y</t>
  </si>
  <si>
    <t>iPad y/y</t>
  </si>
  <si>
    <t>Wearables, Home and Accessories y/y</t>
  </si>
  <si>
    <t>OCA</t>
  </si>
  <si>
    <t>ONCA</t>
  </si>
  <si>
    <t>OCL</t>
  </si>
  <si>
    <t>ONCL</t>
  </si>
  <si>
    <t>Vendor non-trade recievables</t>
  </si>
  <si>
    <t>Other assets</t>
  </si>
  <si>
    <t>Other liabilties</t>
  </si>
  <si>
    <t>FCF</t>
  </si>
  <si>
    <t>FCF TTM</t>
  </si>
  <si>
    <t>COGS Products</t>
  </si>
  <si>
    <t>COGS services</t>
  </si>
  <si>
    <t>Gross margin products</t>
  </si>
  <si>
    <t>Gross margin services</t>
  </si>
  <si>
    <t>Gross profit products</t>
  </si>
  <si>
    <t>Gross profit services</t>
  </si>
  <si>
    <t>FQ124</t>
  </si>
  <si>
    <t>Tangible bookvalue</t>
  </si>
  <si>
    <t>Net share settlement</t>
  </si>
  <si>
    <t>Pretax</t>
  </si>
  <si>
    <t>FQ125</t>
  </si>
  <si>
    <t>FQ424</t>
  </si>
  <si>
    <t>FQ324</t>
  </si>
  <si>
    <t>FQ224</t>
  </si>
  <si>
    <t>FQ423</t>
  </si>
  <si>
    <t>FQ323</t>
  </si>
  <si>
    <t>FQ223</t>
  </si>
  <si>
    <t>FQ123</t>
  </si>
  <si>
    <t>FQ422</t>
  </si>
  <si>
    <t>FQ322</t>
  </si>
  <si>
    <t>FQ222</t>
  </si>
  <si>
    <t>FQ122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</si>
</sst>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\x"/>
    <numFmt numFmtId="165" formatCode="[$-413]d/mmm;@"/>
  </numFmts>
  <fonts count="7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sz val="28"/>
      <color theme="1"/>
      <name val="Arial"/>
      <family val="2"/>
    </font>
    <font>
      <sz val="10"/>
      <color rgb="FF000000"/>
      <name val="Arial"/>
      <family val="2"/>
    </font>
    <font>
      <b/>
      <u/>
      <sz val="10"/>
      <color theme="1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/>
    <xf numFmtId="3" fontId="0" fillId="0" borderId="0" xfId="0" applyNumberFormat="1"/>
    <xf numFmtId="0" fontId="0" fillId="0" borderId="0" xfId="0" applyAlignment="1">
      <alignment horizontal="right"/>
    </xf>
    <xf numFmtId="0" fontId="1" fillId="0" borderId="0" xfId="0" applyFont="1"/>
    <xf numFmtId="3" fontId="1" fillId="0" borderId="0" xfId="0" applyNumberFormat="1" applyFont="1"/>
    <xf numFmtId="4" fontId="0" fillId="0" borderId="0" xfId="0" applyNumberFormat="1"/>
    <xf numFmtId="9" fontId="0" fillId="0" borderId="0" xfId="0" applyNumberFormat="1"/>
    <xf numFmtId="9" fontId="1" fillId="0" borderId="0" xfId="0" applyNumberFormat="1" applyFont="1"/>
    <xf numFmtId="164" fontId="0" fillId="0" borderId="0" xfId="0" applyNumberFormat="1"/>
    <xf numFmtId="0" fontId="3" fillId="0" borderId="0" xfId="0" applyFont="1"/>
    <xf numFmtId="3" fontId="0" fillId="0" borderId="0" xfId="0" applyNumberFormat="1" applyAlignment="1">
      <alignment horizontal="right"/>
    </xf>
    <xf numFmtId="9" fontId="0" fillId="0" borderId="0" xfId="0" applyNumberFormat="1" applyAlignment="1">
      <alignment horizontal="right"/>
    </xf>
    <xf numFmtId="3" fontId="1" fillId="0" borderId="0" xfId="0" applyNumberFormat="1" applyFont="1" applyAlignment="1">
      <alignment horizontal="right"/>
    </xf>
    <xf numFmtId="165" fontId="0" fillId="0" borderId="0" xfId="0" applyNumberForma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19050</xdr:colOff>
      <xdr:row>0</xdr:row>
      <xdr:rowOff>28575</xdr:rowOff>
    </xdr:from>
    <xdr:to>
      <xdr:col>15</xdr:col>
      <xdr:colOff>19050</xdr:colOff>
      <xdr:row>109</xdr:row>
      <xdr:rowOff>104775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87CFE214-3005-A0B3-2A0B-4AA497CAAE6E}"/>
            </a:ext>
          </a:extLst>
        </xdr:cNvPr>
        <xdr:cNvCxnSpPr/>
      </xdr:nvCxnSpPr>
      <xdr:spPr>
        <a:xfrm>
          <a:off x="11391900" y="28575"/>
          <a:ext cx="0" cy="1832610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28575</xdr:colOff>
      <xdr:row>0</xdr:row>
      <xdr:rowOff>19050</xdr:rowOff>
    </xdr:from>
    <xdr:to>
      <xdr:col>28</xdr:col>
      <xdr:colOff>28575</xdr:colOff>
      <xdr:row>109</xdr:row>
      <xdr:rowOff>95250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4A44BBC0-09E2-4991-9801-A74DDBF041C4}"/>
            </a:ext>
          </a:extLst>
        </xdr:cNvPr>
        <xdr:cNvCxnSpPr/>
      </xdr:nvCxnSpPr>
      <xdr:spPr>
        <a:xfrm>
          <a:off x="19602450" y="19050"/>
          <a:ext cx="0" cy="1800225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D904E-10D3-47DD-8E58-EFBC6490BB09}">
  <dimension ref="A1:J40"/>
  <sheetViews>
    <sheetView workbookViewId="0">
      <selection activeCell="F27" sqref="F27"/>
    </sheetView>
  </sheetViews>
  <sheetFormatPr defaultRowHeight="12.75" x14ac:dyDescent="0.2"/>
  <cols>
    <col min="1" max="1" width="19.7109375" bestFit="1" customWidth="1"/>
    <col min="2" max="2" width="31" bestFit="1" customWidth="1"/>
  </cols>
  <sheetData>
    <row r="1" spans="1:10" ht="34.5" x14ac:dyDescent="0.45">
      <c r="A1" s="1" t="s">
        <v>38</v>
      </c>
    </row>
    <row r="2" spans="1:10" x14ac:dyDescent="0.2">
      <c r="A2" t="s">
        <v>0</v>
      </c>
      <c r="C2" s="3">
        <v>2023</v>
      </c>
      <c r="D2" s="3"/>
      <c r="E2" s="3">
        <v>2024</v>
      </c>
    </row>
    <row r="3" spans="1:10" x14ac:dyDescent="0.2">
      <c r="A3" t="s">
        <v>1</v>
      </c>
      <c r="C3" s="3" t="s">
        <v>10</v>
      </c>
      <c r="D3" s="3" t="s">
        <v>73</v>
      </c>
      <c r="E3" s="3" t="s">
        <v>10</v>
      </c>
      <c r="F3" s="3" t="s">
        <v>73</v>
      </c>
      <c r="H3" t="s">
        <v>2</v>
      </c>
      <c r="I3" s="2">
        <v>203</v>
      </c>
    </row>
    <row r="4" spans="1:10" x14ac:dyDescent="0.2">
      <c r="B4" t="s">
        <v>54</v>
      </c>
      <c r="C4" s="11">
        <v>200583</v>
      </c>
      <c r="D4" s="7">
        <f>+C4/$C$15</f>
        <v>0.52332598458066448</v>
      </c>
      <c r="E4" s="11">
        <v>201183</v>
      </c>
      <c r="F4" s="7">
        <f>+E4/$E$15</f>
        <v>0.51462007750649086</v>
      </c>
      <c r="H4" t="s">
        <v>3</v>
      </c>
      <c r="I4" s="2">
        <f>+Model!O46</f>
        <v>15150.865</v>
      </c>
      <c r="J4" s="3" t="s">
        <v>102</v>
      </c>
    </row>
    <row r="5" spans="1:10" x14ac:dyDescent="0.2">
      <c r="B5" t="s">
        <v>52</v>
      </c>
      <c r="C5" s="11">
        <v>29357</v>
      </c>
      <c r="D5" s="7">
        <f>+C5/$C$15</f>
        <v>7.659313565623492E-2</v>
      </c>
      <c r="E5" s="11">
        <v>29984</v>
      </c>
      <c r="F5" s="7">
        <f>+E5/$E$15</f>
        <v>7.669817233043856E-2</v>
      </c>
      <c r="H5" t="s">
        <v>4</v>
      </c>
      <c r="I5" s="2">
        <f>+I4*I3</f>
        <v>3075625.5949999997</v>
      </c>
      <c r="J5" s="3"/>
    </row>
    <row r="6" spans="1:10" x14ac:dyDescent="0.2">
      <c r="B6" t="s">
        <v>71</v>
      </c>
      <c r="C6" s="11">
        <v>28300</v>
      </c>
      <c r="D6" s="7">
        <f>+C6/$C$15</f>
        <v>7.3835396636967268E-2</v>
      </c>
      <c r="E6" s="11">
        <v>26694</v>
      </c>
      <c r="F6" s="7">
        <f>+E6/$E$15</f>
        <v>6.8282451046849227E-2</v>
      </c>
      <c r="H6" t="s">
        <v>5</v>
      </c>
      <c r="I6" s="2">
        <f>+Model!O58</f>
        <v>141368</v>
      </c>
      <c r="J6" s="3" t="s">
        <v>102</v>
      </c>
    </row>
    <row r="7" spans="1:10" x14ac:dyDescent="0.2">
      <c r="B7" s="2" t="s">
        <v>72</v>
      </c>
      <c r="C7" s="11">
        <v>39845</v>
      </c>
      <c r="D7" s="7">
        <f>+C7/$C$15</f>
        <v>0.1039565858303873</v>
      </c>
      <c r="E7" s="11">
        <v>37005</v>
      </c>
      <c r="F7" s="7">
        <f>+E7/$E$15</f>
        <v>9.4657679665417521E-2</v>
      </c>
      <c r="H7" t="s">
        <v>6</v>
      </c>
      <c r="I7" s="2">
        <f>+Model!O69</f>
        <v>96799</v>
      </c>
      <c r="J7" s="3" t="s">
        <v>102</v>
      </c>
    </row>
    <row r="8" spans="1:10" x14ac:dyDescent="0.2">
      <c r="B8" s="2" t="s">
        <v>9</v>
      </c>
      <c r="C8" s="11">
        <v>85200</v>
      </c>
      <c r="D8" s="7">
        <f>+C8/$C$15</f>
        <v>0.222288897295746</v>
      </c>
      <c r="E8" s="11">
        <v>96169</v>
      </c>
      <c r="F8" s="7">
        <f>+E8/$E$15</f>
        <v>0.24599741645030504</v>
      </c>
      <c r="H8" t="s">
        <v>7</v>
      </c>
      <c r="I8" s="2">
        <f>+I5-I6+I7</f>
        <v>3031056.5949999997</v>
      </c>
    </row>
    <row r="9" spans="1:10" x14ac:dyDescent="0.2">
      <c r="D9" s="7"/>
      <c r="F9" s="7"/>
      <c r="I9" s="2">
        <f>+Model!O75</f>
        <v>96150</v>
      </c>
    </row>
    <row r="10" spans="1:10" x14ac:dyDescent="0.2">
      <c r="B10" s="2" t="s">
        <v>65</v>
      </c>
      <c r="C10" s="11">
        <v>162560</v>
      </c>
      <c r="D10" s="7">
        <f>+C10/$C$15</f>
        <v>0.42412304160089748</v>
      </c>
      <c r="E10" s="11">
        <v>167045</v>
      </c>
      <c r="F10" s="7">
        <f>+E10/$E$15</f>
        <v>0.42729609781677264</v>
      </c>
      <c r="I10" s="9">
        <f>+I8/I9</f>
        <v>31.524249557982316</v>
      </c>
    </row>
    <row r="11" spans="1:10" x14ac:dyDescent="0.2">
      <c r="B11" s="2" t="s">
        <v>66</v>
      </c>
      <c r="C11" s="11">
        <v>94294</v>
      </c>
      <c r="D11" s="7">
        <f>+C11/$C$15</f>
        <v>0.24601536715498912</v>
      </c>
      <c r="E11" s="11">
        <v>101328</v>
      </c>
      <c r="F11" s="7">
        <f>+E11/$E$15</f>
        <v>0.25919398365457175</v>
      </c>
    </row>
    <row r="12" spans="1:10" x14ac:dyDescent="0.2">
      <c r="B12" s="2" t="s">
        <v>67</v>
      </c>
      <c r="C12" s="11">
        <v>72559</v>
      </c>
      <c r="D12" s="7">
        <f>+C12/$C$15</f>
        <v>0.18930821712302856</v>
      </c>
      <c r="E12" s="11">
        <v>66852</v>
      </c>
      <c r="F12" s="7">
        <f>+E12/$E$15</f>
        <v>0.17100541010653944</v>
      </c>
    </row>
    <row r="13" spans="1:10" x14ac:dyDescent="0.2">
      <c r="B13" s="2" t="s">
        <v>68</v>
      </c>
      <c r="C13" s="11">
        <v>24257</v>
      </c>
      <c r="D13" s="7">
        <f>+C13/$C$15</f>
        <v>6.3287110113883924E-2</v>
      </c>
      <c r="E13" s="11">
        <v>25052</v>
      </c>
      <c r="F13" s="7">
        <f>+E13/$E$15</f>
        <v>6.4082264315039578E-2</v>
      </c>
    </row>
    <row r="14" spans="1:10" x14ac:dyDescent="0.2">
      <c r="B14" s="2" t="s">
        <v>69</v>
      </c>
      <c r="C14" s="11">
        <v>29615</v>
      </c>
      <c r="D14" s="7">
        <f>+C14/$C$15</f>
        <v>7.7266264007200908E-2</v>
      </c>
      <c r="E14" s="11">
        <v>30658</v>
      </c>
      <c r="F14" s="7">
        <f>+E14/$E$15</f>
        <v>7.8422244107076627E-2</v>
      </c>
    </row>
    <row r="15" spans="1:10" x14ac:dyDescent="0.2">
      <c r="B15" s="4" t="s">
        <v>10</v>
      </c>
      <c r="C15" s="13">
        <f>+SUM(C4:C8)</f>
        <v>383285</v>
      </c>
      <c r="D15" s="3"/>
      <c r="E15" s="13">
        <f>+SUM(E10:E14)</f>
        <v>390935</v>
      </c>
    </row>
    <row r="17" spans="2:8" x14ac:dyDescent="0.2">
      <c r="H17" s="10" t="s">
        <v>64</v>
      </c>
    </row>
    <row r="26" spans="2:8" x14ac:dyDescent="0.2">
      <c r="B26" s="15" t="s">
        <v>8</v>
      </c>
    </row>
    <row r="27" spans="2:8" x14ac:dyDescent="0.2">
      <c r="B27" s="4" t="s">
        <v>54</v>
      </c>
    </row>
    <row r="28" spans="2:8" x14ac:dyDescent="0.2">
      <c r="B28" s="4" t="s">
        <v>52</v>
      </c>
    </row>
    <row r="29" spans="2:8" x14ac:dyDescent="0.2">
      <c r="B29" s="4" t="s">
        <v>53</v>
      </c>
    </row>
    <row r="30" spans="2:8" x14ac:dyDescent="0.2">
      <c r="B30" s="4" t="s">
        <v>55</v>
      </c>
    </row>
    <row r="31" spans="2:8" x14ac:dyDescent="0.2">
      <c r="B31" t="s">
        <v>56</v>
      </c>
    </row>
    <row r="32" spans="2:8" x14ac:dyDescent="0.2">
      <c r="B32" t="s">
        <v>57</v>
      </c>
    </row>
    <row r="33" spans="2:2" x14ac:dyDescent="0.2">
      <c r="B33" t="s">
        <v>58</v>
      </c>
    </row>
    <row r="35" spans="2:2" x14ac:dyDescent="0.2">
      <c r="B35" s="4" t="s">
        <v>9</v>
      </c>
    </row>
    <row r="36" spans="2:2" x14ac:dyDescent="0.2">
      <c r="B36" t="s">
        <v>59</v>
      </c>
    </row>
    <row r="37" spans="2:2" x14ac:dyDescent="0.2">
      <c r="B37" t="s">
        <v>60</v>
      </c>
    </row>
    <row r="38" spans="2:2" x14ac:dyDescent="0.2">
      <c r="B38" t="s">
        <v>62</v>
      </c>
    </row>
    <row r="39" spans="2:2" x14ac:dyDescent="0.2">
      <c r="B39" t="s">
        <v>61</v>
      </c>
    </row>
    <row r="40" spans="2:2" x14ac:dyDescent="0.2">
      <c r="B40" t="s">
        <v>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31D18-A9A9-48C7-BC75-4527DD6FE4EC}">
  <dimension ref="B1:AR109"/>
  <sheetViews>
    <sheetView tabSelected="1" workbookViewId="0">
      <pane xSplit="2" ySplit="3" topLeftCell="X22" activePane="bottomRight" state="frozen"/>
      <selection pane="topRight" activeCell="B1" sqref="B1"/>
      <selection pane="bottomLeft" activeCell="A4" sqref="A4"/>
      <selection pane="bottomRight" activeCell="AC30" sqref="AC30"/>
    </sheetView>
  </sheetViews>
  <sheetFormatPr defaultRowHeight="12.75" x14ac:dyDescent="0.2"/>
  <cols>
    <col min="1" max="1" width="2.7109375" customWidth="1"/>
    <col min="2" max="2" width="39.5703125" bestFit="1" customWidth="1"/>
    <col min="3" max="3" width="9.28515625" customWidth="1"/>
    <col min="4" max="11" width="10.140625" style="2" bestFit="1" customWidth="1"/>
    <col min="12" max="12" width="10.5703125" bestFit="1" customWidth="1"/>
    <col min="14" max="14" width="9" customWidth="1"/>
    <col min="15" max="20" width="9.140625" customWidth="1"/>
    <col min="24" max="26" width="10.140625" bestFit="1" customWidth="1"/>
    <col min="27" max="28" width="9.7109375" bestFit="1" customWidth="1"/>
  </cols>
  <sheetData>
    <row r="1" spans="2:44" ht="34.5" x14ac:dyDescent="0.45">
      <c r="B1" s="1" t="s">
        <v>38</v>
      </c>
      <c r="C1" s="1"/>
      <c r="K1"/>
    </row>
    <row r="2" spans="2:44" s="14" customFormat="1" x14ac:dyDescent="0.2">
      <c r="B2" s="14" t="s">
        <v>0</v>
      </c>
      <c r="C2" s="14">
        <v>44925</v>
      </c>
      <c r="D2" s="14">
        <v>45381</v>
      </c>
      <c r="E2" s="14">
        <v>45472</v>
      </c>
      <c r="F2" s="14">
        <v>44834</v>
      </c>
      <c r="G2" s="14">
        <v>44925</v>
      </c>
      <c r="H2" s="14">
        <v>45381</v>
      </c>
      <c r="I2" s="14">
        <v>45472</v>
      </c>
      <c r="J2" s="14">
        <v>45199</v>
      </c>
      <c r="K2" s="14">
        <v>45290</v>
      </c>
      <c r="L2" s="14">
        <v>45381</v>
      </c>
      <c r="M2" s="14">
        <v>45472</v>
      </c>
      <c r="N2" s="14">
        <v>45199</v>
      </c>
      <c r="O2" s="14">
        <v>45654</v>
      </c>
    </row>
    <row r="3" spans="2:44" s="3" customFormat="1" x14ac:dyDescent="0.2">
      <c r="B3" t="s">
        <v>1</v>
      </c>
      <c r="C3" t="s">
        <v>113</v>
      </c>
      <c r="D3" s="3" t="s">
        <v>112</v>
      </c>
      <c r="E3" s="3" t="s">
        <v>111</v>
      </c>
      <c r="F3" s="3" t="s">
        <v>110</v>
      </c>
      <c r="G3" s="3" t="s">
        <v>109</v>
      </c>
      <c r="H3" s="3" t="s">
        <v>108</v>
      </c>
      <c r="I3" s="3" t="s">
        <v>107</v>
      </c>
      <c r="J3" s="3" t="s">
        <v>106</v>
      </c>
      <c r="K3" s="3" t="s">
        <v>98</v>
      </c>
      <c r="L3" s="3" t="s">
        <v>105</v>
      </c>
      <c r="M3" s="3" t="s">
        <v>104</v>
      </c>
      <c r="N3" s="3" t="s">
        <v>103</v>
      </c>
      <c r="O3" s="3" t="s">
        <v>102</v>
      </c>
      <c r="R3" s="3">
        <v>2014</v>
      </c>
      <c r="S3" s="3">
        <v>2015</v>
      </c>
      <c r="T3" s="3">
        <v>2016</v>
      </c>
      <c r="U3" s="3">
        <v>2017</v>
      </c>
      <c r="V3" s="3">
        <v>2018</v>
      </c>
      <c r="W3" s="3">
        <v>2019</v>
      </c>
      <c r="X3">
        <v>2020</v>
      </c>
      <c r="Y3">
        <f t="shared" ref="Y3:AR3" si="0">+X3+1</f>
        <v>2021</v>
      </c>
      <c r="Z3">
        <f t="shared" si="0"/>
        <v>2022</v>
      </c>
      <c r="AA3">
        <f t="shared" si="0"/>
        <v>2023</v>
      </c>
      <c r="AB3">
        <f t="shared" si="0"/>
        <v>2024</v>
      </c>
      <c r="AC3">
        <f t="shared" si="0"/>
        <v>2025</v>
      </c>
      <c r="AD3">
        <f t="shared" si="0"/>
        <v>2026</v>
      </c>
      <c r="AE3">
        <f t="shared" si="0"/>
        <v>2027</v>
      </c>
      <c r="AF3">
        <f t="shared" si="0"/>
        <v>2028</v>
      </c>
      <c r="AG3">
        <f t="shared" si="0"/>
        <v>2029</v>
      </c>
      <c r="AH3">
        <f t="shared" si="0"/>
        <v>2030</v>
      </c>
      <c r="AI3">
        <f t="shared" si="0"/>
        <v>2031</v>
      </c>
      <c r="AJ3">
        <f t="shared" si="0"/>
        <v>2032</v>
      </c>
      <c r="AK3">
        <f t="shared" si="0"/>
        <v>2033</v>
      </c>
      <c r="AL3">
        <f t="shared" si="0"/>
        <v>2034</v>
      </c>
      <c r="AM3">
        <f t="shared" si="0"/>
        <v>2035</v>
      </c>
      <c r="AN3">
        <f t="shared" si="0"/>
        <v>2036</v>
      </c>
      <c r="AO3">
        <f t="shared" si="0"/>
        <v>2037</v>
      </c>
      <c r="AP3">
        <f t="shared" si="0"/>
        <v>2038</v>
      </c>
      <c r="AQ3">
        <f t="shared" si="0"/>
        <v>2039</v>
      </c>
      <c r="AR3">
        <f t="shared" si="0"/>
        <v>2040</v>
      </c>
    </row>
    <row r="4" spans="2:44" s="11" customFormat="1" x14ac:dyDescent="0.2">
      <c r="B4" s="2" t="s">
        <v>54</v>
      </c>
      <c r="C4" s="2"/>
      <c r="G4" s="11">
        <v>65775</v>
      </c>
      <c r="H4" s="11">
        <v>51334</v>
      </c>
      <c r="I4" s="11">
        <v>39669</v>
      </c>
      <c r="J4" s="11">
        <v>43805</v>
      </c>
      <c r="K4" s="11">
        <v>69702</v>
      </c>
      <c r="L4" s="11">
        <v>45963</v>
      </c>
      <c r="M4" s="11">
        <v>39296</v>
      </c>
      <c r="N4" s="11">
        <v>46222</v>
      </c>
      <c r="O4" s="11">
        <v>69138</v>
      </c>
      <c r="V4" s="11">
        <v>164888</v>
      </c>
      <c r="W4" s="11">
        <v>142381</v>
      </c>
      <c r="X4" s="2">
        <v>137781</v>
      </c>
      <c r="Y4" s="2">
        <v>191973</v>
      </c>
      <c r="Z4" s="2">
        <v>205489</v>
      </c>
      <c r="AA4" s="2">
        <f>+SUM(G4:J4)</f>
        <v>200583</v>
      </c>
      <c r="AB4" s="2">
        <v>201183</v>
      </c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</row>
    <row r="5" spans="2:44" s="11" customFormat="1" x14ac:dyDescent="0.2">
      <c r="B5" s="2" t="s">
        <v>52</v>
      </c>
      <c r="C5" s="2"/>
      <c r="G5" s="11">
        <v>7735</v>
      </c>
      <c r="H5" s="11">
        <v>7168</v>
      </c>
      <c r="I5" s="11">
        <v>6840</v>
      </c>
      <c r="J5" s="11">
        <v>7614</v>
      </c>
      <c r="K5" s="11">
        <v>7780</v>
      </c>
      <c r="L5" s="11">
        <v>7451</v>
      </c>
      <c r="M5" s="11">
        <v>7009</v>
      </c>
      <c r="N5" s="11">
        <v>7744</v>
      </c>
      <c r="O5" s="11">
        <v>8987</v>
      </c>
      <c r="V5" s="11">
        <v>25198</v>
      </c>
      <c r="W5" s="11">
        <v>25740</v>
      </c>
      <c r="X5" s="2">
        <v>28622</v>
      </c>
      <c r="Y5" s="2">
        <v>35190</v>
      </c>
      <c r="Z5" s="2">
        <v>40177</v>
      </c>
      <c r="AA5" s="2">
        <f t="shared" ref="AA5:AA8" si="1">+SUM(G5:J5)</f>
        <v>29357</v>
      </c>
      <c r="AB5" s="2">
        <v>29984</v>
      </c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</row>
    <row r="6" spans="2:44" s="11" customFormat="1" x14ac:dyDescent="0.2">
      <c r="B6" s="2" t="s">
        <v>53</v>
      </c>
      <c r="C6" s="2"/>
      <c r="G6" s="11">
        <v>9396</v>
      </c>
      <c r="H6" s="11">
        <v>6670</v>
      </c>
      <c r="I6" s="11">
        <v>5791</v>
      </c>
      <c r="J6" s="11">
        <v>6443</v>
      </c>
      <c r="K6" s="11">
        <v>7023</v>
      </c>
      <c r="L6" s="11">
        <v>5559</v>
      </c>
      <c r="M6" s="11">
        <v>7162</v>
      </c>
      <c r="N6" s="11">
        <v>6950</v>
      </c>
      <c r="O6" s="11">
        <v>8088</v>
      </c>
      <c r="V6" s="11">
        <v>18380</v>
      </c>
      <c r="W6" s="11">
        <v>21280</v>
      </c>
      <c r="X6" s="2">
        <v>23724</v>
      </c>
      <c r="Y6" s="2">
        <v>31862</v>
      </c>
      <c r="Z6" s="2">
        <v>29292</v>
      </c>
      <c r="AA6" s="2">
        <f t="shared" si="1"/>
        <v>28300</v>
      </c>
      <c r="AB6" s="2">
        <v>26694</v>
      </c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</row>
    <row r="7" spans="2:44" s="11" customFormat="1" x14ac:dyDescent="0.2">
      <c r="B7" s="2" t="s">
        <v>72</v>
      </c>
      <c r="C7" s="2"/>
      <c r="G7" s="11">
        <v>13482</v>
      </c>
      <c r="H7" s="11">
        <v>8757</v>
      </c>
      <c r="I7" s="11">
        <v>8284</v>
      </c>
      <c r="J7" s="11">
        <v>9322</v>
      </c>
      <c r="K7" s="11">
        <v>11953</v>
      </c>
      <c r="L7" s="11">
        <v>7913</v>
      </c>
      <c r="M7" s="11">
        <v>8097</v>
      </c>
      <c r="N7" s="11">
        <v>9042</v>
      </c>
      <c r="O7" s="11">
        <v>11747</v>
      </c>
      <c r="V7" s="11">
        <v>17381</v>
      </c>
      <c r="W7" s="11">
        <v>24482</v>
      </c>
      <c r="X7" s="2">
        <v>30620</v>
      </c>
      <c r="Y7" s="2">
        <v>38367</v>
      </c>
      <c r="Z7" s="2">
        <v>41241</v>
      </c>
      <c r="AA7" s="2">
        <f t="shared" si="1"/>
        <v>39845</v>
      </c>
      <c r="AB7" s="2">
        <v>37005</v>
      </c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</row>
    <row r="8" spans="2:44" s="11" customFormat="1" x14ac:dyDescent="0.2">
      <c r="B8" s="2" t="s">
        <v>9</v>
      </c>
      <c r="C8" s="2"/>
      <c r="G8" s="11">
        <v>20766</v>
      </c>
      <c r="H8" s="11">
        <v>20907</v>
      </c>
      <c r="I8" s="11">
        <v>21213</v>
      </c>
      <c r="J8" s="11">
        <v>22314</v>
      </c>
      <c r="K8" s="11">
        <v>23117</v>
      </c>
      <c r="L8" s="11">
        <v>23867</v>
      </c>
      <c r="M8" s="11">
        <v>24213</v>
      </c>
      <c r="N8" s="11">
        <v>24972</v>
      </c>
      <c r="O8" s="11">
        <v>26340</v>
      </c>
      <c r="V8" s="11">
        <v>39748</v>
      </c>
      <c r="W8" s="11">
        <v>46291</v>
      </c>
      <c r="X8" s="2">
        <v>53768</v>
      </c>
      <c r="Y8" s="2">
        <v>68425</v>
      </c>
      <c r="Z8" s="2">
        <v>78129</v>
      </c>
      <c r="AA8" s="2">
        <f t="shared" si="1"/>
        <v>85200</v>
      </c>
      <c r="AB8" s="2">
        <v>96169</v>
      </c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</row>
    <row r="9" spans="2:44" s="11" customFormat="1" x14ac:dyDescent="0.2">
      <c r="B9" s="2"/>
      <c r="C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</row>
    <row r="10" spans="2:44" s="12" customFormat="1" x14ac:dyDescent="0.2">
      <c r="B10" s="7" t="s">
        <v>79</v>
      </c>
      <c r="C10" s="7"/>
      <c r="G10" s="12" t="e">
        <f>+G4/C4-1</f>
        <v>#DIV/0!</v>
      </c>
      <c r="H10" s="12" t="e">
        <f>+H4/D4-1</f>
        <v>#DIV/0!</v>
      </c>
      <c r="I10" s="12" t="e">
        <f>+I4/E4-1</f>
        <v>#DIV/0!</v>
      </c>
      <c r="J10" s="12" t="e">
        <f>+J4/E4-1</f>
        <v>#DIV/0!</v>
      </c>
      <c r="K10" s="12">
        <f>+K4/G4-1</f>
        <v>5.9703534777651113E-2</v>
      </c>
      <c r="L10" s="12">
        <f>+L4/H4-1</f>
        <v>-0.10462851131803486</v>
      </c>
      <c r="M10" s="12">
        <f>+M4/I4-1</f>
        <v>-9.4028082381708566E-3</v>
      </c>
      <c r="N10" s="12">
        <f>+N4/J4-1</f>
        <v>5.5176349731765884E-2</v>
      </c>
      <c r="O10" s="12">
        <f>+O4/K4-1</f>
        <v>-8.0915899113368495E-3</v>
      </c>
      <c r="W10" s="7">
        <f t="shared" ref="W10:X10" si="2">+W4/V4-1</f>
        <v>-0.13649871427878313</v>
      </c>
      <c r="X10" s="7">
        <f t="shared" si="2"/>
        <v>-3.2307681502447672E-2</v>
      </c>
      <c r="Y10" s="7">
        <f t="shared" ref="Y10:Z10" si="3">+Y4/X4-1</f>
        <v>0.39331983364905176</v>
      </c>
      <c r="Z10" s="7">
        <f t="shared" si="3"/>
        <v>7.0405734139696641E-2</v>
      </c>
      <c r="AA10" s="7">
        <f>+AA4/Z4-1</f>
        <v>-2.3874757286278081E-2</v>
      </c>
      <c r="AB10" s="7">
        <f>+AB4/AA4-1</f>
        <v>2.9912804175826757E-3</v>
      </c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</row>
    <row r="11" spans="2:44" s="12" customFormat="1" x14ac:dyDescent="0.2">
      <c r="B11" s="7" t="s">
        <v>80</v>
      </c>
      <c r="C11" s="7"/>
      <c r="G11" s="12" t="e">
        <f t="shared" ref="G11:G14" si="4">+G5/C5-1</f>
        <v>#DIV/0!</v>
      </c>
      <c r="H11" s="12" t="e">
        <f t="shared" ref="H11:I14" si="5">+H5/D5-1</f>
        <v>#DIV/0!</v>
      </c>
      <c r="I11" s="12" t="e">
        <f t="shared" si="5"/>
        <v>#DIV/0!</v>
      </c>
      <c r="J11" s="12" t="e">
        <f>+J5/E5-1</f>
        <v>#DIV/0!</v>
      </c>
      <c r="K11" s="12">
        <f t="shared" ref="K11:M14" si="6">+K5/G5-1</f>
        <v>5.8177117000646206E-3</v>
      </c>
      <c r="L11" s="12">
        <f t="shared" si="6"/>
        <v>3.9481026785714191E-2</v>
      </c>
      <c r="M11" s="12">
        <f t="shared" si="6"/>
        <v>2.4707602339181234E-2</v>
      </c>
      <c r="N11" s="12">
        <f>+N5/J5-1</f>
        <v>1.7073811400052596E-2</v>
      </c>
      <c r="O11" s="12">
        <f>+O5/K5-1</f>
        <v>0.15514138817480716</v>
      </c>
      <c r="W11" s="7">
        <f t="shared" ref="W11:X11" si="7">+W5/V5-1</f>
        <v>2.1509643622509733E-2</v>
      </c>
      <c r="X11" s="7">
        <f t="shared" si="7"/>
        <v>0.11196581196581201</v>
      </c>
      <c r="Y11" s="7">
        <f t="shared" ref="Y11:Z11" si="8">+Y5/X5-1</f>
        <v>0.22947383131856625</v>
      </c>
      <c r="Z11" s="7">
        <f t="shared" si="8"/>
        <v>0.14171639670360903</v>
      </c>
      <c r="AA11" s="7">
        <f>+AA5/Z5-1</f>
        <v>-0.26930831072504169</v>
      </c>
      <c r="AB11" s="7">
        <f>+AB5/AA5-1</f>
        <v>2.1357768164322E-2</v>
      </c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</row>
    <row r="12" spans="2:44" s="12" customFormat="1" x14ac:dyDescent="0.2">
      <c r="B12" s="7" t="s">
        <v>81</v>
      </c>
      <c r="C12" s="7"/>
      <c r="G12" s="12" t="e">
        <f t="shared" si="4"/>
        <v>#DIV/0!</v>
      </c>
      <c r="H12" s="12" t="e">
        <f t="shared" si="5"/>
        <v>#DIV/0!</v>
      </c>
      <c r="I12" s="12" t="e">
        <f t="shared" si="5"/>
        <v>#DIV/0!</v>
      </c>
      <c r="J12" s="12" t="e">
        <f>+J6/E6-1</f>
        <v>#DIV/0!</v>
      </c>
      <c r="K12" s="12">
        <f t="shared" si="6"/>
        <v>-0.25255427841634737</v>
      </c>
      <c r="L12" s="12">
        <f t="shared" si="6"/>
        <v>-0.16656671664167921</v>
      </c>
      <c r="M12" s="12">
        <f t="shared" si="6"/>
        <v>0.23674667587635989</v>
      </c>
      <c r="N12" s="12">
        <f>+N6/J6-1</f>
        <v>7.8690051218376578E-2</v>
      </c>
      <c r="O12" s="12">
        <f>+O6/K6-1</f>
        <v>0.15164459632635618</v>
      </c>
      <c r="W12" s="7">
        <f t="shared" ref="W12:X12" si="9">+W6/V6-1</f>
        <v>0.15778019586507064</v>
      </c>
      <c r="X12" s="7">
        <f t="shared" si="9"/>
        <v>0.11484962406015042</v>
      </c>
      <c r="Y12" s="7">
        <f t="shared" ref="Y12:Z12" si="10">+Y6/X6-1</f>
        <v>0.34302815714044854</v>
      </c>
      <c r="Z12" s="7">
        <f t="shared" si="10"/>
        <v>-8.0660347749670458E-2</v>
      </c>
      <c r="AA12" s="7">
        <f>+AA6/Z6-1</f>
        <v>-3.3865901952751631E-2</v>
      </c>
      <c r="AB12" s="7">
        <f>+AB6/AA6-1</f>
        <v>-5.674911660777382E-2</v>
      </c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</row>
    <row r="13" spans="2:44" s="12" customFormat="1" x14ac:dyDescent="0.2">
      <c r="B13" s="7" t="s">
        <v>82</v>
      </c>
      <c r="C13" s="7"/>
      <c r="G13" s="12" t="e">
        <f t="shared" si="4"/>
        <v>#DIV/0!</v>
      </c>
      <c r="H13" s="12" t="e">
        <f t="shared" si="5"/>
        <v>#DIV/0!</v>
      </c>
      <c r="I13" s="12" t="e">
        <f t="shared" si="5"/>
        <v>#DIV/0!</v>
      </c>
      <c r="J13" s="12" t="e">
        <f>+J7/E7-1</f>
        <v>#DIV/0!</v>
      </c>
      <c r="K13" s="12">
        <f t="shared" si="6"/>
        <v>-0.11341047322355735</v>
      </c>
      <c r="L13" s="12">
        <f t="shared" si="6"/>
        <v>-9.6380038826082037E-2</v>
      </c>
      <c r="M13" s="12">
        <f t="shared" si="6"/>
        <v>-2.2573635924674096E-2</v>
      </c>
      <c r="N13" s="12">
        <f>+N7/J7-1</f>
        <v>-3.0036472859901298E-2</v>
      </c>
      <c r="O13" s="12">
        <f>+O7/K7-1</f>
        <v>-1.7234167154689173E-2</v>
      </c>
      <c r="W13" s="7">
        <f t="shared" ref="W13:X13" si="11">+W7/V7-1</f>
        <v>0.40854956561762834</v>
      </c>
      <c r="X13" s="7">
        <f t="shared" si="11"/>
        <v>0.25071481088146386</v>
      </c>
      <c r="Y13" s="7">
        <f t="shared" ref="Y13:Z13" si="12">+Y7/X7-1</f>
        <v>0.2530045721750489</v>
      </c>
      <c r="Z13" s="7">
        <f t="shared" si="12"/>
        <v>7.4908124169208001E-2</v>
      </c>
      <c r="AA13" s="7">
        <f>+AA7/Z7-1</f>
        <v>-3.3849809655439933E-2</v>
      </c>
      <c r="AB13" s="7">
        <f>+AB7/AA7-1</f>
        <v>-7.1276195256619435E-2</v>
      </c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</row>
    <row r="14" spans="2:44" s="3" customFormat="1" x14ac:dyDescent="0.2">
      <c r="B14" s="7" t="s">
        <v>9</v>
      </c>
      <c r="C14" s="7"/>
      <c r="G14" s="12" t="e">
        <f t="shared" si="4"/>
        <v>#DIV/0!</v>
      </c>
      <c r="H14" s="12" t="e">
        <f t="shared" si="5"/>
        <v>#DIV/0!</v>
      </c>
      <c r="I14" s="12" t="e">
        <f t="shared" si="5"/>
        <v>#DIV/0!</v>
      </c>
      <c r="J14" s="12" t="e">
        <f>+J8/E8-1</f>
        <v>#DIV/0!</v>
      </c>
      <c r="K14" s="12">
        <f t="shared" si="6"/>
        <v>0.11321390734855052</v>
      </c>
      <c r="L14" s="12">
        <f t="shared" si="6"/>
        <v>0.14157937532883724</v>
      </c>
      <c r="M14" s="12">
        <f t="shared" si="6"/>
        <v>0.1414227124876255</v>
      </c>
      <c r="N14" s="12">
        <f>+N8/J8-1</f>
        <v>0.11911804248453883</v>
      </c>
      <c r="O14" s="12">
        <f>+O8/K8-1</f>
        <v>0.13942120517368162</v>
      </c>
      <c r="W14" s="7">
        <f t="shared" ref="W14:X14" si="13">+W8/V8-1</f>
        <v>0.16461205595250084</v>
      </c>
      <c r="X14" s="7">
        <f t="shared" si="13"/>
        <v>0.16152167807997242</v>
      </c>
      <c r="Y14" s="7">
        <f t="shared" ref="Y14:Z14" si="14">+Y8/X8-1</f>
        <v>0.27259708376729663</v>
      </c>
      <c r="Z14" s="7">
        <f t="shared" si="14"/>
        <v>0.14181951041286078</v>
      </c>
      <c r="AA14" s="7">
        <f>+AA8/Z8-1</f>
        <v>9.0504166186691215E-2</v>
      </c>
      <c r="AB14" s="7">
        <f>+AB8/AA8-1</f>
        <v>0.12874413145539898</v>
      </c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</row>
    <row r="15" spans="2:44" s="3" customFormat="1" x14ac:dyDescent="0.2">
      <c r="B15"/>
      <c r="C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</row>
    <row r="16" spans="2:44" s="11" customFormat="1" x14ac:dyDescent="0.2">
      <c r="B16" s="2" t="s">
        <v>65</v>
      </c>
      <c r="C16" s="2"/>
      <c r="G16" s="11">
        <v>79278</v>
      </c>
      <c r="H16" s="11">
        <v>37784</v>
      </c>
      <c r="I16" s="11">
        <v>35383</v>
      </c>
      <c r="J16" s="11">
        <v>40115</v>
      </c>
      <c r="K16" s="11">
        <v>50430</v>
      </c>
      <c r="L16" s="11">
        <v>37273</v>
      </c>
      <c r="M16" s="11">
        <v>37678</v>
      </c>
      <c r="N16" s="11">
        <v>41664</v>
      </c>
      <c r="O16" s="11">
        <v>52648</v>
      </c>
      <c r="V16" s="11">
        <v>112093</v>
      </c>
      <c r="W16" s="11">
        <v>116914</v>
      </c>
      <c r="X16" s="2">
        <v>124556</v>
      </c>
      <c r="Y16" s="2">
        <v>153306</v>
      </c>
      <c r="Z16" s="2">
        <v>169658</v>
      </c>
      <c r="AA16" s="2">
        <v>162560</v>
      </c>
      <c r="AB16" s="2">
        <f>+SUM(K16:N16)</f>
        <v>167045</v>
      </c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</row>
    <row r="17" spans="2:44" s="11" customFormat="1" x14ac:dyDescent="0.2">
      <c r="B17" s="2" t="s">
        <v>66</v>
      </c>
      <c r="C17" s="2"/>
      <c r="G17" s="11">
        <v>27681</v>
      </c>
      <c r="H17" s="11">
        <v>23945</v>
      </c>
      <c r="I17" s="11">
        <v>20205</v>
      </c>
      <c r="J17" s="11">
        <v>22463</v>
      </c>
      <c r="K17" s="11">
        <v>30397</v>
      </c>
      <c r="L17" s="11">
        <v>24123</v>
      </c>
      <c r="M17" s="11">
        <v>21884</v>
      </c>
      <c r="N17" s="11">
        <v>24924</v>
      </c>
      <c r="O17" s="11">
        <v>33861</v>
      </c>
      <c r="V17" s="11">
        <v>62420</v>
      </c>
      <c r="W17" s="11">
        <v>60288</v>
      </c>
      <c r="X17" s="2">
        <v>68640</v>
      </c>
      <c r="Y17" s="2">
        <v>89307</v>
      </c>
      <c r="Z17" s="2">
        <v>95118</v>
      </c>
      <c r="AA17" s="2">
        <v>94294</v>
      </c>
      <c r="AB17" s="2">
        <f t="shared" ref="AB17:AB20" si="15">+SUM(K17:N17)</f>
        <v>101328</v>
      </c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</row>
    <row r="18" spans="2:44" s="11" customFormat="1" x14ac:dyDescent="0.2">
      <c r="B18" s="2" t="s">
        <v>67</v>
      </c>
      <c r="C18" s="2"/>
      <c r="G18" s="11">
        <v>23905</v>
      </c>
      <c r="H18" s="11">
        <v>17812</v>
      </c>
      <c r="I18" s="11">
        <v>15758</v>
      </c>
      <c r="J18" s="11">
        <v>15084</v>
      </c>
      <c r="K18" s="11">
        <v>20719</v>
      </c>
      <c r="L18" s="11">
        <v>16372</v>
      </c>
      <c r="M18" s="11">
        <v>14728</v>
      </c>
      <c r="N18" s="11">
        <v>15033</v>
      </c>
      <c r="O18" s="11">
        <v>18513</v>
      </c>
      <c r="V18" s="11">
        <v>51942</v>
      </c>
      <c r="W18" s="11">
        <v>43678</v>
      </c>
      <c r="X18" s="2">
        <v>40308</v>
      </c>
      <c r="Y18" s="2">
        <v>68366</v>
      </c>
      <c r="Z18" s="2">
        <v>74200</v>
      </c>
      <c r="AA18" s="2">
        <v>72559</v>
      </c>
      <c r="AB18" s="2">
        <f t="shared" si="15"/>
        <v>66852</v>
      </c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</row>
    <row r="19" spans="2:44" s="11" customFormat="1" x14ac:dyDescent="0.2">
      <c r="B19" s="2" t="s">
        <v>68</v>
      </c>
      <c r="C19" s="2"/>
      <c r="G19" s="11">
        <v>6755</v>
      </c>
      <c r="H19" s="11">
        <v>7176</v>
      </c>
      <c r="I19" s="11">
        <v>4821</v>
      </c>
      <c r="J19" s="11">
        <v>5505</v>
      </c>
      <c r="K19" s="11">
        <v>7767</v>
      </c>
      <c r="L19" s="11">
        <v>6262</v>
      </c>
      <c r="M19" s="11">
        <v>5097</v>
      </c>
      <c r="N19" s="11">
        <v>5926</v>
      </c>
      <c r="O19" s="11">
        <v>8987</v>
      </c>
      <c r="V19" s="11">
        <v>21733</v>
      </c>
      <c r="W19" s="11">
        <v>21506</v>
      </c>
      <c r="X19" s="2">
        <v>21418</v>
      </c>
      <c r="Y19" s="2">
        <v>28482</v>
      </c>
      <c r="Z19" s="2">
        <v>25977</v>
      </c>
      <c r="AA19" s="2">
        <v>24257</v>
      </c>
      <c r="AB19" s="2">
        <f t="shared" si="15"/>
        <v>25052</v>
      </c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</row>
    <row r="20" spans="2:44" s="11" customFormat="1" x14ac:dyDescent="0.2">
      <c r="B20" s="2" t="s">
        <v>69</v>
      </c>
      <c r="C20" s="2"/>
      <c r="G20" s="11">
        <v>9535</v>
      </c>
      <c r="H20" s="11">
        <v>8119</v>
      </c>
      <c r="I20" s="11">
        <v>5630</v>
      </c>
      <c r="J20" s="11">
        <v>6331</v>
      </c>
      <c r="K20" s="11">
        <v>10162</v>
      </c>
      <c r="L20" s="11">
        <v>6723</v>
      </c>
      <c r="M20" s="11">
        <v>6390</v>
      </c>
      <c r="N20" s="11">
        <v>7383</v>
      </c>
      <c r="O20" s="11">
        <v>10291</v>
      </c>
      <c r="V20" s="11">
        <v>17407</v>
      </c>
      <c r="W20" s="11">
        <v>17788</v>
      </c>
      <c r="X20" s="2">
        <v>19593</v>
      </c>
      <c r="Y20" s="2">
        <v>26356</v>
      </c>
      <c r="Z20" s="2">
        <v>29375</v>
      </c>
      <c r="AA20" s="2">
        <v>29615</v>
      </c>
      <c r="AB20" s="2">
        <f t="shared" si="15"/>
        <v>30658</v>
      </c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</row>
    <row r="21" spans="2:44" s="11" customFormat="1" x14ac:dyDescent="0.2">
      <c r="B21" s="2"/>
      <c r="C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</row>
    <row r="22" spans="2:44" s="12" customFormat="1" x14ac:dyDescent="0.2">
      <c r="B22" s="7" t="s">
        <v>74</v>
      </c>
      <c r="C22" s="7"/>
      <c r="G22" s="12" t="e">
        <f>+G16/C16-1</f>
        <v>#DIV/0!</v>
      </c>
      <c r="H22" s="12" t="e">
        <f>+H16/D16-1</f>
        <v>#DIV/0!</v>
      </c>
      <c r="I22" s="12" t="e">
        <f>+I16/E16-1</f>
        <v>#DIV/0!</v>
      </c>
      <c r="J22" s="12" t="e">
        <f>+J16/F16-1</f>
        <v>#DIV/0!</v>
      </c>
      <c r="K22" s="12">
        <f>+K16/G16-1</f>
        <v>-0.36388405358359188</v>
      </c>
      <c r="L22" s="12">
        <f>+L16/H16-1</f>
        <v>-1.3524243065847985E-2</v>
      </c>
      <c r="M22" s="12">
        <f>+M16/I16-1</f>
        <v>6.4861656727807082E-2</v>
      </c>
      <c r="N22" s="12">
        <f>+N16/J16-1</f>
        <v>3.8613984793718137E-2</v>
      </c>
      <c r="O22" s="12">
        <f>+O16/K16-1</f>
        <v>4.3981756890739687E-2</v>
      </c>
      <c r="V22" s="7"/>
      <c r="W22" s="7">
        <f t="shared" ref="W22:AA26" si="16">+W16/V16-1</f>
        <v>4.3008930084840191E-2</v>
      </c>
      <c r="X22" s="7">
        <f t="shared" si="16"/>
        <v>6.5364284858956179E-2</v>
      </c>
      <c r="Y22" s="7">
        <f t="shared" si="16"/>
        <v>0.23081987218600464</v>
      </c>
      <c r="Z22" s="7">
        <f t="shared" si="16"/>
        <v>0.10666249200944522</v>
      </c>
      <c r="AA22" s="7">
        <f t="shared" si="16"/>
        <v>-4.1837107592922251E-2</v>
      </c>
      <c r="AB22" s="7">
        <f>+AB16/AA16-1</f>
        <v>2.7589812992125928E-2</v>
      </c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</row>
    <row r="23" spans="2:44" s="12" customFormat="1" x14ac:dyDescent="0.2">
      <c r="B23" s="7" t="s">
        <v>75</v>
      </c>
      <c r="C23" s="7"/>
      <c r="G23" s="12" t="e">
        <f>+G17/C17-1</f>
        <v>#DIV/0!</v>
      </c>
      <c r="H23" s="12" t="e">
        <f>+H17/D17-1</f>
        <v>#DIV/0!</v>
      </c>
      <c r="I23" s="12" t="e">
        <f>+I17/E17-1</f>
        <v>#DIV/0!</v>
      </c>
      <c r="J23" s="12" t="e">
        <f>+J17/F17-1</f>
        <v>#DIV/0!</v>
      </c>
      <c r="K23" s="12">
        <f>+K17/G17-1</f>
        <v>9.8117842563491209E-2</v>
      </c>
      <c r="L23" s="12">
        <f>+L17/H17-1</f>
        <v>7.4337022342869652E-3</v>
      </c>
      <c r="M23" s="12">
        <f>+M17/I17-1</f>
        <v>8.3098243009156247E-2</v>
      </c>
      <c r="N23" s="12">
        <f>+N17/J17-1</f>
        <v>0.10955793972310013</v>
      </c>
      <c r="O23" s="12">
        <f>+O17/K17-1</f>
        <v>0.1139586143369411</v>
      </c>
      <c r="V23" s="7"/>
      <c r="W23" s="7">
        <f t="shared" si="16"/>
        <v>-3.4155719320730582E-2</v>
      </c>
      <c r="X23" s="7">
        <f t="shared" si="16"/>
        <v>0.13853503184713367</v>
      </c>
      <c r="Y23" s="7">
        <f t="shared" si="16"/>
        <v>0.30109265734265733</v>
      </c>
      <c r="Z23" s="7">
        <f t="shared" si="16"/>
        <v>6.5067687863213486E-2</v>
      </c>
      <c r="AA23" s="7">
        <f t="shared" si="16"/>
        <v>-8.662923947097334E-3</v>
      </c>
      <c r="AB23" s="7">
        <f t="shared" ref="AB23:AB26" si="17">+AB17/AA17-1</f>
        <v>7.4596474855239903E-2</v>
      </c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</row>
    <row r="24" spans="2:44" s="12" customFormat="1" x14ac:dyDescent="0.2">
      <c r="B24" s="7" t="s">
        <v>76</v>
      </c>
      <c r="C24" s="7"/>
      <c r="G24" s="12" t="e">
        <f>+G18/C18-1</f>
        <v>#DIV/0!</v>
      </c>
      <c r="H24" s="12" t="e">
        <f>+H18/D18-1</f>
        <v>#DIV/0!</v>
      </c>
      <c r="I24" s="12" t="e">
        <f>+I18/E18-1</f>
        <v>#DIV/0!</v>
      </c>
      <c r="J24" s="12" t="e">
        <f>+J18/F18-1</f>
        <v>#DIV/0!</v>
      </c>
      <c r="K24" s="12">
        <f>+K18/G18-1</f>
        <v>-0.13327755699644428</v>
      </c>
      <c r="L24" s="12">
        <f>+L18/H18-1</f>
        <v>-8.0844374578935563E-2</v>
      </c>
      <c r="M24" s="12">
        <f>+M18/I18-1</f>
        <v>-6.5363624825485522E-2</v>
      </c>
      <c r="N24" s="12">
        <f>+N18/J18-1</f>
        <v>-3.381066030230695E-3</v>
      </c>
      <c r="O24" s="12">
        <f>+O18/K18-1</f>
        <v>-0.1064723200926686</v>
      </c>
      <c r="V24" s="7"/>
      <c r="W24" s="7">
        <f t="shared" si="16"/>
        <v>-0.15910053521235223</v>
      </c>
      <c r="X24" s="7">
        <f t="shared" si="16"/>
        <v>-7.7155547415174719E-2</v>
      </c>
      <c r="Y24" s="7">
        <f t="shared" si="16"/>
        <v>0.69609010618239564</v>
      </c>
      <c r="Z24" s="7">
        <f t="shared" si="16"/>
        <v>8.533481555159006E-2</v>
      </c>
      <c r="AA24" s="7">
        <f t="shared" si="16"/>
        <v>-2.2115902964959577E-2</v>
      </c>
      <c r="AB24" s="7">
        <f t="shared" si="17"/>
        <v>-7.8653233919982357E-2</v>
      </c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</row>
    <row r="25" spans="2:44" s="12" customFormat="1" x14ac:dyDescent="0.2">
      <c r="B25" s="7" t="s">
        <v>77</v>
      </c>
      <c r="C25" s="7"/>
      <c r="G25" s="12" t="e">
        <f>+G19/C19-1</f>
        <v>#DIV/0!</v>
      </c>
      <c r="H25" s="12" t="e">
        <f>+H19/D19-1</f>
        <v>#DIV/0!</v>
      </c>
      <c r="I25" s="12" t="e">
        <f>+I19/E19-1</f>
        <v>#DIV/0!</v>
      </c>
      <c r="J25" s="12" t="e">
        <f>+J19/F19-1</f>
        <v>#DIV/0!</v>
      </c>
      <c r="K25" s="12">
        <f>+K19/G19-1</f>
        <v>0.14981495188749072</v>
      </c>
      <c r="L25" s="12">
        <f>+L19/H19-1</f>
        <v>-0.12736900780379046</v>
      </c>
      <c r="M25" s="12">
        <f>+M19/I19-1</f>
        <v>5.724953329184812E-2</v>
      </c>
      <c r="N25" s="12">
        <f>+N19/J19-1</f>
        <v>7.6475930971843686E-2</v>
      </c>
      <c r="O25" s="12">
        <f>+O19/K19-1</f>
        <v>0.15707480365649551</v>
      </c>
      <c r="V25" s="7"/>
      <c r="W25" s="7">
        <f t="shared" si="16"/>
        <v>-1.0444945474623824E-2</v>
      </c>
      <c r="X25" s="7">
        <f t="shared" si="16"/>
        <v>-4.0918813354412498E-3</v>
      </c>
      <c r="Y25" s="7">
        <f t="shared" si="16"/>
        <v>0.32981604258100661</v>
      </c>
      <c r="Z25" s="7">
        <f t="shared" si="16"/>
        <v>-8.7950284390141187E-2</v>
      </c>
      <c r="AA25" s="7">
        <f t="shared" si="16"/>
        <v>-6.621241867806138E-2</v>
      </c>
      <c r="AB25" s="7">
        <f t="shared" si="17"/>
        <v>3.2774044605680785E-2</v>
      </c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</row>
    <row r="26" spans="2:44" s="12" customFormat="1" x14ac:dyDescent="0.2">
      <c r="B26" s="7" t="s">
        <v>78</v>
      </c>
      <c r="C26" s="7"/>
      <c r="G26" s="12" t="e">
        <f>+G20/C20-1</f>
        <v>#DIV/0!</v>
      </c>
      <c r="H26" s="12" t="e">
        <f>+H20/D20-1</f>
        <v>#DIV/0!</v>
      </c>
      <c r="I26" s="12" t="e">
        <f>+I20/E20-1</f>
        <v>#DIV/0!</v>
      </c>
      <c r="J26" s="12" t="e">
        <f>+J20/F20-1</f>
        <v>#DIV/0!</v>
      </c>
      <c r="K26" s="12">
        <f>+K20/G20-1</f>
        <v>6.5757734661772371E-2</v>
      </c>
      <c r="L26" s="12">
        <f>+L20/H20-1</f>
        <v>-0.17194235743318143</v>
      </c>
      <c r="M26" s="12">
        <f>+M20/I20-1</f>
        <v>0.13499111900532856</v>
      </c>
      <c r="N26" s="12">
        <f>+N20/J20-1</f>
        <v>0.16616648238824827</v>
      </c>
      <c r="O26" s="12">
        <f>+O20/K20-1</f>
        <v>1.2694351505609047E-2</v>
      </c>
      <c r="V26" s="7"/>
      <c r="W26" s="7">
        <f t="shared" si="16"/>
        <v>2.188774630895618E-2</v>
      </c>
      <c r="X26" s="7">
        <f t="shared" si="16"/>
        <v>0.10147290308072865</v>
      </c>
      <c r="Y26" s="7">
        <f t="shared" si="16"/>
        <v>0.34517429694278579</v>
      </c>
      <c r="Z26" s="7">
        <f t="shared" si="16"/>
        <v>0.11454697222643806</v>
      </c>
      <c r="AA26" s="7">
        <f t="shared" si="16"/>
        <v>8.1702127659575297E-3</v>
      </c>
      <c r="AB26" s="7">
        <f t="shared" si="17"/>
        <v>3.5218639203106639E-2</v>
      </c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</row>
    <row r="27" spans="2:44" s="3" customFormat="1" x14ac:dyDescent="0.2">
      <c r="B27"/>
      <c r="C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</row>
    <row r="28" spans="2:44" x14ac:dyDescent="0.2">
      <c r="B28" t="s">
        <v>8</v>
      </c>
      <c r="D28" s="2">
        <v>77457</v>
      </c>
      <c r="E28" s="2">
        <v>63355</v>
      </c>
      <c r="F28" s="2">
        <v>70958</v>
      </c>
      <c r="G28" s="2">
        <v>96388</v>
      </c>
      <c r="H28" s="2">
        <v>73929</v>
      </c>
      <c r="I28" s="2">
        <v>60584</v>
      </c>
      <c r="J28" s="2">
        <v>67184</v>
      </c>
      <c r="K28" s="2">
        <v>96458</v>
      </c>
      <c r="L28" s="2">
        <v>66886</v>
      </c>
      <c r="M28" s="2">
        <v>61564</v>
      </c>
      <c r="N28" s="2">
        <v>69958</v>
      </c>
      <c r="O28" s="2">
        <v>97960</v>
      </c>
      <c r="P28" s="2"/>
      <c r="Q28" s="2"/>
      <c r="R28" s="2"/>
      <c r="S28" s="2"/>
      <c r="T28" s="2"/>
      <c r="V28" s="2">
        <v>225847</v>
      </c>
      <c r="W28" s="2">
        <v>213883</v>
      </c>
      <c r="X28" s="2">
        <v>220747</v>
      </c>
      <c r="Y28" s="2">
        <v>297392</v>
      </c>
      <c r="Z28" s="2">
        <v>316199</v>
      </c>
      <c r="AA28" s="2">
        <v>298085</v>
      </c>
      <c r="AB28" s="2">
        <f>+SUM(K28:N28)</f>
        <v>294866</v>
      </c>
    </row>
    <row r="29" spans="2:44" x14ac:dyDescent="0.2">
      <c r="B29" t="s">
        <v>9</v>
      </c>
      <c r="D29" s="2">
        <v>19821</v>
      </c>
      <c r="E29" s="2">
        <v>19604</v>
      </c>
      <c r="F29" s="2">
        <v>19188</v>
      </c>
      <c r="G29" s="2">
        <v>20766</v>
      </c>
      <c r="H29" s="2">
        <v>20907</v>
      </c>
      <c r="I29" s="2">
        <v>21213</v>
      </c>
      <c r="J29" s="2">
        <v>22314</v>
      </c>
      <c r="K29" s="2">
        <v>23117</v>
      </c>
      <c r="L29" s="2">
        <v>23867</v>
      </c>
      <c r="M29" s="2">
        <v>24213</v>
      </c>
      <c r="N29" s="2">
        <v>24972</v>
      </c>
      <c r="O29" s="2">
        <v>26340</v>
      </c>
      <c r="P29" s="2"/>
      <c r="Q29" s="2"/>
      <c r="R29" s="2"/>
      <c r="S29" s="2"/>
      <c r="T29" s="2"/>
      <c r="U29" s="7"/>
      <c r="V29" s="2">
        <v>39748</v>
      </c>
      <c r="W29" s="2">
        <v>46291</v>
      </c>
      <c r="X29" s="2">
        <v>53768</v>
      </c>
      <c r="Y29" s="2">
        <v>68425</v>
      </c>
      <c r="Z29" s="2">
        <v>78129</v>
      </c>
      <c r="AA29" s="2">
        <v>85200</v>
      </c>
      <c r="AB29" s="2">
        <f>+SUM(K29:N29)</f>
        <v>96169</v>
      </c>
    </row>
    <row r="30" spans="2:44" s="4" customFormat="1" x14ac:dyDescent="0.2">
      <c r="B30" s="4" t="s">
        <v>10</v>
      </c>
      <c r="D30" s="5">
        <f t="shared" ref="D30:K30" si="18">+D28+D29</f>
        <v>97278</v>
      </c>
      <c r="E30" s="5">
        <f t="shared" si="18"/>
        <v>82959</v>
      </c>
      <c r="F30" s="5">
        <f t="shared" si="18"/>
        <v>90146</v>
      </c>
      <c r="G30" s="5">
        <f t="shared" si="18"/>
        <v>117154</v>
      </c>
      <c r="H30" s="5">
        <f t="shared" si="18"/>
        <v>94836</v>
      </c>
      <c r="I30" s="5">
        <f t="shared" si="18"/>
        <v>81797</v>
      </c>
      <c r="J30" s="5">
        <f t="shared" si="18"/>
        <v>89498</v>
      </c>
      <c r="K30" s="5">
        <f t="shared" si="18"/>
        <v>119575</v>
      </c>
      <c r="L30" s="5">
        <f t="shared" ref="L30:M30" si="19">+L28+L29</f>
        <v>90753</v>
      </c>
      <c r="M30" s="5">
        <f t="shared" si="19"/>
        <v>85777</v>
      </c>
      <c r="N30" s="5">
        <f t="shared" ref="N30:O30" si="20">+N28+N29</f>
        <v>94930</v>
      </c>
      <c r="O30" s="5">
        <f t="shared" si="20"/>
        <v>124300</v>
      </c>
      <c r="P30" s="5"/>
      <c r="Q30" s="5"/>
      <c r="R30" s="5">
        <v>182795</v>
      </c>
      <c r="S30" s="5">
        <v>233715</v>
      </c>
      <c r="T30" s="5">
        <v>215639</v>
      </c>
      <c r="U30" s="5">
        <v>229234</v>
      </c>
      <c r="V30" s="5">
        <f t="shared" ref="V30:Z30" si="21">+V28+V29</f>
        <v>265595</v>
      </c>
      <c r="W30" s="5">
        <f t="shared" si="21"/>
        <v>260174</v>
      </c>
      <c r="X30" s="5">
        <f t="shared" si="21"/>
        <v>274515</v>
      </c>
      <c r="Y30" s="5">
        <f t="shared" si="21"/>
        <v>365817</v>
      </c>
      <c r="Z30" s="5">
        <f t="shared" si="21"/>
        <v>394328</v>
      </c>
      <c r="AA30" s="5">
        <f>+AA28+AA29</f>
        <v>383285</v>
      </c>
      <c r="AB30" s="5">
        <f>+AB28+AB29</f>
        <v>391035</v>
      </c>
    </row>
    <row r="31" spans="2:44" s="2" customFormat="1" x14ac:dyDescent="0.2">
      <c r="B31" s="2" t="s">
        <v>92</v>
      </c>
      <c r="G31" s="2">
        <v>60765</v>
      </c>
      <c r="H31" s="2">
        <v>46795</v>
      </c>
      <c r="I31" s="2">
        <v>39136</v>
      </c>
      <c r="J31" s="2">
        <v>42586</v>
      </c>
      <c r="K31" s="2">
        <v>58440</v>
      </c>
      <c r="L31" s="2">
        <v>42424</v>
      </c>
      <c r="M31" s="2">
        <v>39803</v>
      </c>
      <c r="N31" s="2">
        <v>44566</v>
      </c>
      <c r="O31" s="2">
        <v>59447</v>
      </c>
      <c r="V31" s="2">
        <v>148164</v>
      </c>
      <c r="W31" s="2">
        <v>144996</v>
      </c>
      <c r="X31" s="2">
        <v>151286</v>
      </c>
      <c r="Y31" s="2">
        <v>192266</v>
      </c>
      <c r="Z31" s="2">
        <v>201471</v>
      </c>
      <c r="AA31" s="2">
        <v>189282</v>
      </c>
      <c r="AB31" s="2">
        <v>185233</v>
      </c>
    </row>
    <row r="32" spans="2:44" s="2" customFormat="1" x14ac:dyDescent="0.2">
      <c r="B32" s="2" t="s">
        <v>93</v>
      </c>
      <c r="G32" s="2">
        <v>6057</v>
      </c>
      <c r="H32" s="2">
        <v>6065</v>
      </c>
      <c r="I32" s="2">
        <v>6248</v>
      </c>
      <c r="J32" s="2">
        <v>6485</v>
      </c>
      <c r="K32" s="2">
        <v>6280</v>
      </c>
      <c r="L32" s="2">
        <v>6058</v>
      </c>
      <c r="M32" s="2">
        <v>6296</v>
      </c>
      <c r="N32" s="2">
        <v>6485</v>
      </c>
      <c r="O32" s="2">
        <v>6578</v>
      </c>
      <c r="V32" s="2">
        <v>15592</v>
      </c>
      <c r="W32" s="2">
        <v>16786</v>
      </c>
      <c r="X32" s="2">
        <v>18273</v>
      </c>
      <c r="Y32" s="2">
        <v>20715</v>
      </c>
      <c r="Z32" s="2">
        <v>22075</v>
      </c>
      <c r="AA32" s="2">
        <v>24855</v>
      </c>
      <c r="AB32" s="2">
        <v>25119</v>
      </c>
    </row>
    <row r="33" spans="2:28" x14ac:dyDescent="0.2">
      <c r="B33" t="s">
        <v>11</v>
      </c>
      <c r="D33" s="2">
        <v>54719</v>
      </c>
      <c r="E33" s="2">
        <v>47074</v>
      </c>
      <c r="F33" s="2">
        <v>52051</v>
      </c>
      <c r="G33" s="2">
        <f t="shared" ref="G33:O33" si="22">+SUM(G31:G32)</f>
        <v>66822</v>
      </c>
      <c r="H33" s="2">
        <f t="shared" si="22"/>
        <v>52860</v>
      </c>
      <c r="I33" s="2">
        <f t="shared" si="22"/>
        <v>45384</v>
      </c>
      <c r="J33" s="2">
        <f t="shared" si="22"/>
        <v>49071</v>
      </c>
      <c r="K33" s="2">
        <f t="shared" si="22"/>
        <v>64720</v>
      </c>
      <c r="L33" s="2">
        <f t="shared" si="22"/>
        <v>48482</v>
      </c>
      <c r="M33" s="2">
        <f t="shared" si="22"/>
        <v>46099</v>
      </c>
      <c r="N33" s="2">
        <f t="shared" si="22"/>
        <v>51051</v>
      </c>
      <c r="O33" s="2">
        <f t="shared" si="22"/>
        <v>66025</v>
      </c>
      <c r="P33" s="2"/>
      <c r="Q33" s="2"/>
      <c r="R33" s="2">
        <v>112258</v>
      </c>
      <c r="S33" s="2">
        <v>140089</v>
      </c>
      <c r="T33" s="2">
        <v>131376</v>
      </c>
      <c r="U33" s="2">
        <v>141048</v>
      </c>
      <c r="V33" s="2">
        <v>163756</v>
      </c>
      <c r="W33" s="2">
        <v>161782</v>
      </c>
      <c r="X33" s="2">
        <v>169559</v>
      </c>
      <c r="Y33" s="2">
        <v>212981</v>
      </c>
      <c r="Z33" s="2">
        <v>223546</v>
      </c>
      <c r="AA33" s="2">
        <v>214137</v>
      </c>
      <c r="AB33" s="2">
        <f>+SUM(AB31:AB32)</f>
        <v>210352</v>
      </c>
    </row>
    <row r="34" spans="2:28" x14ac:dyDescent="0.2">
      <c r="B34" t="s">
        <v>96</v>
      </c>
      <c r="G34" s="2">
        <f t="shared" ref="G34:N34" si="23">+G28-G31</f>
        <v>35623</v>
      </c>
      <c r="H34" s="2">
        <f t="shared" si="23"/>
        <v>27134</v>
      </c>
      <c r="I34" s="2">
        <f t="shared" si="23"/>
        <v>21448</v>
      </c>
      <c r="J34" s="2">
        <f t="shared" si="23"/>
        <v>24598</v>
      </c>
      <c r="K34" s="2">
        <f t="shared" si="23"/>
        <v>38018</v>
      </c>
      <c r="L34" s="2">
        <f t="shared" si="23"/>
        <v>24462</v>
      </c>
      <c r="M34" s="2">
        <f t="shared" si="23"/>
        <v>21761</v>
      </c>
      <c r="N34" s="2">
        <f t="shared" si="23"/>
        <v>25392</v>
      </c>
      <c r="O34" s="2">
        <f t="shared" ref="O34" si="24">+O28-O31</f>
        <v>38513</v>
      </c>
      <c r="P34" s="2"/>
      <c r="Q34" s="2"/>
      <c r="R34" s="2"/>
      <c r="S34" s="2"/>
      <c r="T34" s="2"/>
      <c r="U34" s="2"/>
      <c r="V34" s="2">
        <f t="shared" ref="V34:W34" si="25">+V28-V31</f>
        <v>77683</v>
      </c>
      <c r="W34" s="2">
        <f t="shared" si="25"/>
        <v>68887</v>
      </c>
      <c r="X34" s="2">
        <f t="shared" ref="X34:Y34" si="26">+X28-X31</f>
        <v>69461</v>
      </c>
      <c r="Y34" s="2">
        <f t="shared" si="26"/>
        <v>105126</v>
      </c>
      <c r="Z34" s="2">
        <f>+Z28-Z31</f>
        <v>114728</v>
      </c>
      <c r="AA34" s="2">
        <f>+AA28-AA31</f>
        <v>108803</v>
      </c>
      <c r="AB34" s="2">
        <f>+AB28-AB31</f>
        <v>109633</v>
      </c>
    </row>
    <row r="35" spans="2:28" x14ac:dyDescent="0.2">
      <c r="B35" t="s">
        <v>97</v>
      </c>
      <c r="G35" s="2">
        <f t="shared" ref="G35:H35" si="27">+G29-G32</f>
        <v>14709</v>
      </c>
      <c r="H35" s="2">
        <f t="shared" si="27"/>
        <v>14842</v>
      </c>
      <c r="I35" s="2">
        <f t="shared" ref="I35:J35" si="28">+I29-I32</f>
        <v>14965</v>
      </c>
      <c r="J35" s="2">
        <f t="shared" si="28"/>
        <v>15829</v>
      </c>
      <c r="K35" s="2">
        <f t="shared" ref="K35" si="29">+K29-K32</f>
        <v>16837</v>
      </c>
      <c r="L35" s="2">
        <f t="shared" ref="L35:N36" si="30">+L29-L32</f>
        <v>17809</v>
      </c>
      <c r="M35" s="2">
        <f t="shared" si="30"/>
        <v>17917</v>
      </c>
      <c r="N35" s="2">
        <f t="shared" si="30"/>
        <v>18487</v>
      </c>
      <c r="O35" s="2">
        <f t="shared" ref="O35" si="31">+O29-O32</f>
        <v>19762</v>
      </c>
      <c r="P35" s="2"/>
      <c r="Q35" s="2"/>
      <c r="R35" s="2"/>
      <c r="S35" s="2"/>
      <c r="T35" s="2"/>
      <c r="U35" s="2"/>
      <c r="V35" s="2">
        <f t="shared" ref="V35:W35" si="32">+V29-V32</f>
        <v>24156</v>
      </c>
      <c r="W35" s="2">
        <f t="shared" si="32"/>
        <v>29505</v>
      </c>
      <c r="X35" s="2">
        <f t="shared" ref="X35:Y35" si="33">+X29-X32</f>
        <v>35495</v>
      </c>
      <c r="Y35" s="2">
        <f t="shared" si="33"/>
        <v>47710</v>
      </c>
      <c r="Z35" s="2">
        <f>+Z29-Z32</f>
        <v>56054</v>
      </c>
      <c r="AA35" s="2">
        <f>+AA29-AA32</f>
        <v>60345</v>
      </c>
      <c r="AB35" s="2">
        <f>+AB29-AB32</f>
        <v>71050</v>
      </c>
    </row>
    <row r="36" spans="2:28" s="4" customFormat="1" x14ac:dyDescent="0.2">
      <c r="B36" s="4" t="s">
        <v>12</v>
      </c>
      <c r="D36" s="5">
        <f t="shared" ref="D36:J36" si="34">+D30-D33</f>
        <v>42559</v>
      </c>
      <c r="E36" s="5">
        <f t="shared" si="34"/>
        <v>35885</v>
      </c>
      <c r="F36" s="5">
        <f t="shared" si="34"/>
        <v>38095</v>
      </c>
      <c r="G36" s="5">
        <f t="shared" si="34"/>
        <v>50332</v>
      </c>
      <c r="H36" s="5">
        <f t="shared" si="34"/>
        <v>41976</v>
      </c>
      <c r="I36" s="5">
        <f t="shared" si="34"/>
        <v>36413</v>
      </c>
      <c r="J36" s="5">
        <f t="shared" si="34"/>
        <v>40427</v>
      </c>
      <c r="K36" s="5">
        <f>+K30-K33</f>
        <v>54855</v>
      </c>
      <c r="L36" s="5">
        <f t="shared" si="30"/>
        <v>42271</v>
      </c>
      <c r="M36" s="5">
        <f t="shared" si="30"/>
        <v>39678</v>
      </c>
      <c r="N36" s="5">
        <f t="shared" si="30"/>
        <v>43879</v>
      </c>
      <c r="O36" s="5">
        <f t="shared" ref="O36" si="35">+O30-O33</f>
        <v>58275</v>
      </c>
      <c r="P36" s="5"/>
      <c r="Q36" s="5"/>
      <c r="R36" s="5">
        <f t="shared" ref="R36" si="36">+R30-R33</f>
        <v>70537</v>
      </c>
      <c r="S36" s="5">
        <f t="shared" ref="S36:T36" si="37">+S30-S33</f>
        <v>93626</v>
      </c>
      <c r="T36" s="5">
        <f t="shared" si="37"/>
        <v>84263</v>
      </c>
      <c r="U36" s="5">
        <f t="shared" ref="U36:AB36" si="38">+U30-U33</f>
        <v>88186</v>
      </c>
      <c r="V36" s="5">
        <f t="shared" si="38"/>
        <v>101839</v>
      </c>
      <c r="W36" s="5">
        <f t="shared" si="38"/>
        <v>98392</v>
      </c>
      <c r="X36" s="5">
        <f t="shared" si="38"/>
        <v>104956</v>
      </c>
      <c r="Y36" s="5">
        <f t="shared" si="38"/>
        <v>152836</v>
      </c>
      <c r="Z36" s="5">
        <f t="shared" si="38"/>
        <v>170782</v>
      </c>
      <c r="AA36" s="5">
        <f t="shared" si="38"/>
        <v>169148</v>
      </c>
      <c r="AB36" s="5">
        <f t="shared" si="38"/>
        <v>180683</v>
      </c>
    </row>
    <row r="37" spans="2:28" x14ac:dyDescent="0.2">
      <c r="B37" t="s">
        <v>13</v>
      </c>
      <c r="D37" s="2">
        <v>6387</v>
      </c>
      <c r="E37" s="2">
        <v>6797</v>
      </c>
      <c r="F37" s="2">
        <v>6761</v>
      </c>
      <c r="G37" s="2">
        <v>7709</v>
      </c>
      <c r="H37" s="2">
        <v>7457</v>
      </c>
      <c r="I37" s="2">
        <v>7442</v>
      </c>
      <c r="J37" s="2">
        <v>7307</v>
      </c>
      <c r="K37" s="2">
        <v>7696</v>
      </c>
      <c r="L37" s="2">
        <v>7903</v>
      </c>
      <c r="M37" s="2">
        <v>8006</v>
      </c>
      <c r="N37" s="2">
        <v>7765</v>
      </c>
      <c r="O37" s="2">
        <v>8268</v>
      </c>
      <c r="P37" s="2"/>
      <c r="Q37" s="2"/>
      <c r="R37" s="2">
        <v>6041</v>
      </c>
      <c r="S37" s="2">
        <v>8067</v>
      </c>
      <c r="T37" s="2">
        <v>10045</v>
      </c>
      <c r="U37" s="2">
        <v>11581</v>
      </c>
      <c r="V37" s="2">
        <v>14236</v>
      </c>
      <c r="W37" s="2">
        <v>16217</v>
      </c>
      <c r="X37" s="2">
        <v>18752</v>
      </c>
      <c r="Y37" s="2">
        <v>21914</v>
      </c>
      <c r="Z37" s="2">
        <v>26251</v>
      </c>
      <c r="AA37" s="2">
        <v>29915</v>
      </c>
      <c r="AB37" s="2">
        <f>+SUM(K37:N37)</f>
        <v>31370</v>
      </c>
    </row>
    <row r="38" spans="2:28" x14ac:dyDescent="0.2">
      <c r="B38" t="s">
        <v>14</v>
      </c>
      <c r="D38" s="2">
        <v>6193</v>
      </c>
      <c r="E38" s="2">
        <v>6012</v>
      </c>
      <c r="F38" s="2">
        <v>6440</v>
      </c>
      <c r="G38" s="2">
        <v>6607</v>
      </c>
      <c r="H38" s="2">
        <v>6201</v>
      </c>
      <c r="I38" s="2">
        <v>5973</v>
      </c>
      <c r="J38" s="2">
        <v>6151</v>
      </c>
      <c r="K38" s="2">
        <v>6786</v>
      </c>
      <c r="L38" s="2">
        <v>6468</v>
      </c>
      <c r="M38" s="2">
        <v>6320</v>
      </c>
      <c r="N38" s="2">
        <v>6523</v>
      </c>
      <c r="O38" s="2">
        <v>7175</v>
      </c>
      <c r="P38" s="2"/>
      <c r="Q38" s="2"/>
      <c r="R38" s="2">
        <v>11993</v>
      </c>
      <c r="S38" s="2">
        <v>14329</v>
      </c>
      <c r="T38" s="2">
        <v>14194</v>
      </c>
      <c r="U38" s="2">
        <v>15261</v>
      </c>
      <c r="V38" s="2">
        <v>16705</v>
      </c>
      <c r="W38" s="2">
        <v>18245</v>
      </c>
      <c r="X38" s="2">
        <v>19916</v>
      </c>
      <c r="Y38" s="2">
        <v>21973</v>
      </c>
      <c r="Z38" s="2">
        <v>25094</v>
      </c>
      <c r="AA38" s="2">
        <v>24932</v>
      </c>
      <c r="AB38" s="2">
        <f>+SUM(K38:N38)</f>
        <v>26097</v>
      </c>
    </row>
    <row r="39" spans="2:28" x14ac:dyDescent="0.2">
      <c r="B39" t="s">
        <v>15</v>
      </c>
      <c r="D39" s="2">
        <f t="shared" ref="D39:K39" si="39">+D37+D38</f>
        <v>12580</v>
      </c>
      <c r="E39" s="2">
        <f t="shared" si="39"/>
        <v>12809</v>
      </c>
      <c r="F39" s="2">
        <f t="shared" si="39"/>
        <v>13201</v>
      </c>
      <c r="G39" s="2">
        <f t="shared" si="39"/>
        <v>14316</v>
      </c>
      <c r="H39" s="2">
        <f t="shared" si="39"/>
        <v>13658</v>
      </c>
      <c r="I39" s="2">
        <f t="shared" si="39"/>
        <v>13415</v>
      </c>
      <c r="J39" s="2">
        <f t="shared" si="39"/>
        <v>13458</v>
      </c>
      <c r="K39" s="2">
        <f t="shared" si="39"/>
        <v>14482</v>
      </c>
      <c r="L39" s="2">
        <f t="shared" ref="L39:M39" si="40">+L37+L38</f>
        <v>14371</v>
      </c>
      <c r="M39" s="2">
        <f t="shared" si="40"/>
        <v>14326</v>
      </c>
      <c r="N39" s="2">
        <f t="shared" ref="N39:O39" si="41">+N37+N38</f>
        <v>14288</v>
      </c>
      <c r="O39" s="2">
        <f t="shared" si="41"/>
        <v>15443</v>
      </c>
      <c r="P39" s="2"/>
      <c r="Q39" s="2"/>
      <c r="R39" s="2">
        <f t="shared" ref="R39:S39" si="42">+R37+R38</f>
        <v>18034</v>
      </c>
      <c r="S39" s="2">
        <f t="shared" si="42"/>
        <v>22396</v>
      </c>
      <c r="T39" s="2">
        <f t="shared" ref="T39:U39" si="43">+T37+T38</f>
        <v>24239</v>
      </c>
      <c r="U39" s="2">
        <f t="shared" si="43"/>
        <v>26842</v>
      </c>
      <c r="V39" s="2">
        <f t="shared" ref="V39:AA39" si="44">+V37+V38</f>
        <v>30941</v>
      </c>
      <c r="W39" s="2">
        <f t="shared" si="44"/>
        <v>34462</v>
      </c>
      <c r="X39" s="2">
        <f t="shared" si="44"/>
        <v>38668</v>
      </c>
      <c r="Y39" s="2">
        <f t="shared" si="44"/>
        <v>43887</v>
      </c>
      <c r="Z39" s="2">
        <f t="shared" si="44"/>
        <v>51345</v>
      </c>
      <c r="AA39" s="2">
        <f t="shared" si="44"/>
        <v>54847</v>
      </c>
      <c r="AB39" s="2">
        <f t="shared" ref="AB39" si="45">+AB37+AB38</f>
        <v>57467</v>
      </c>
    </row>
    <row r="40" spans="2:28" s="4" customFormat="1" x14ac:dyDescent="0.2">
      <c r="B40" s="4" t="s">
        <v>16</v>
      </c>
      <c r="D40" s="5">
        <f t="shared" ref="D40:K40" si="46">+D36-D39</f>
        <v>29979</v>
      </c>
      <c r="E40" s="5">
        <f t="shared" si="46"/>
        <v>23076</v>
      </c>
      <c r="F40" s="5">
        <f t="shared" si="46"/>
        <v>24894</v>
      </c>
      <c r="G40" s="5">
        <f t="shared" si="46"/>
        <v>36016</v>
      </c>
      <c r="H40" s="5">
        <f t="shared" si="46"/>
        <v>28318</v>
      </c>
      <c r="I40" s="5">
        <f t="shared" si="46"/>
        <v>22998</v>
      </c>
      <c r="J40" s="5">
        <f t="shared" si="46"/>
        <v>26969</v>
      </c>
      <c r="K40" s="5">
        <f t="shared" si="46"/>
        <v>40373</v>
      </c>
      <c r="L40" s="5">
        <f t="shared" ref="L40:M40" si="47">+L36-L39</f>
        <v>27900</v>
      </c>
      <c r="M40" s="5">
        <f t="shared" si="47"/>
        <v>25352</v>
      </c>
      <c r="N40" s="5">
        <f t="shared" ref="N40:O40" si="48">+N36-N39</f>
        <v>29591</v>
      </c>
      <c r="O40" s="5">
        <f t="shared" si="48"/>
        <v>42832</v>
      </c>
      <c r="P40" s="5"/>
      <c r="Q40" s="5"/>
      <c r="R40" s="5">
        <f t="shared" ref="R40:S40" si="49">+R36-R39</f>
        <v>52503</v>
      </c>
      <c r="S40" s="5">
        <f t="shared" si="49"/>
        <v>71230</v>
      </c>
      <c r="T40" s="5">
        <f t="shared" ref="T40:U40" si="50">+T36-T39</f>
        <v>60024</v>
      </c>
      <c r="U40" s="5">
        <f t="shared" si="50"/>
        <v>61344</v>
      </c>
      <c r="V40" s="5">
        <f t="shared" ref="V40:AA40" si="51">+V36-V39</f>
        <v>70898</v>
      </c>
      <c r="W40" s="5">
        <f t="shared" si="51"/>
        <v>63930</v>
      </c>
      <c r="X40" s="5">
        <f t="shared" si="51"/>
        <v>66288</v>
      </c>
      <c r="Y40" s="5">
        <f t="shared" si="51"/>
        <v>108949</v>
      </c>
      <c r="Z40" s="5">
        <f t="shared" si="51"/>
        <v>119437</v>
      </c>
      <c r="AA40" s="5">
        <f t="shared" si="51"/>
        <v>114301</v>
      </c>
      <c r="AB40" s="5">
        <f t="shared" ref="AB40" si="52">+AB36-AB39</f>
        <v>123216</v>
      </c>
    </row>
    <row r="41" spans="2:28" x14ac:dyDescent="0.2">
      <c r="B41" t="s">
        <v>17</v>
      </c>
      <c r="D41" s="2">
        <v>160</v>
      </c>
      <c r="E41" s="2">
        <v>-10</v>
      </c>
      <c r="F41" s="2">
        <v>-237</v>
      </c>
      <c r="G41" s="2">
        <v>-50</v>
      </c>
      <c r="H41" s="2">
        <v>64</v>
      </c>
      <c r="I41" s="2">
        <v>-265</v>
      </c>
      <c r="J41" s="2">
        <v>29</v>
      </c>
      <c r="K41" s="2">
        <v>-50</v>
      </c>
      <c r="L41" s="2">
        <v>158</v>
      </c>
      <c r="M41" s="2">
        <v>142</v>
      </c>
      <c r="N41" s="2">
        <v>19</v>
      </c>
      <c r="O41" s="2">
        <v>-248</v>
      </c>
      <c r="P41" s="2"/>
      <c r="Q41" s="2"/>
      <c r="R41" s="2">
        <v>980</v>
      </c>
      <c r="S41" s="2">
        <v>1285</v>
      </c>
      <c r="T41" s="2">
        <v>1348</v>
      </c>
      <c r="U41" s="2">
        <v>2745</v>
      </c>
      <c r="V41" s="2">
        <v>2005</v>
      </c>
      <c r="W41" s="2">
        <v>1807</v>
      </c>
      <c r="X41" s="2">
        <v>803</v>
      </c>
      <c r="Y41" s="2">
        <v>258</v>
      </c>
      <c r="Z41" s="2">
        <v>-334</v>
      </c>
      <c r="AA41" s="2">
        <v>-565</v>
      </c>
      <c r="AB41" s="2">
        <f>+SUM(K41:N41)</f>
        <v>269</v>
      </c>
    </row>
    <row r="42" spans="2:28" x14ac:dyDescent="0.2">
      <c r="B42" t="s">
        <v>101</v>
      </c>
      <c r="D42" s="2">
        <f t="shared" ref="D42:K42" si="53">+D40+D41</f>
        <v>30139</v>
      </c>
      <c r="E42" s="2">
        <f t="shared" si="53"/>
        <v>23066</v>
      </c>
      <c r="F42" s="2">
        <f t="shared" si="53"/>
        <v>24657</v>
      </c>
      <c r="G42" s="2">
        <f t="shared" si="53"/>
        <v>35966</v>
      </c>
      <c r="H42" s="2">
        <f t="shared" si="53"/>
        <v>28382</v>
      </c>
      <c r="I42" s="2">
        <f t="shared" si="53"/>
        <v>22733</v>
      </c>
      <c r="J42" s="2">
        <f t="shared" si="53"/>
        <v>26998</v>
      </c>
      <c r="K42" s="2">
        <f t="shared" si="53"/>
        <v>40323</v>
      </c>
      <c r="L42" s="2">
        <f t="shared" ref="L42:M42" si="54">+L40+L41</f>
        <v>28058</v>
      </c>
      <c r="M42" s="2">
        <f t="shared" si="54"/>
        <v>25494</v>
      </c>
      <c r="N42" s="2">
        <f t="shared" ref="N42:O42" si="55">+N40+N41</f>
        <v>29610</v>
      </c>
      <c r="O42" s="2">
        <f t="shared" si="55"/>
        <v>42584</v>
      </c>
      <c r="P42" s="2"/>
      <c r="Q42" s="2"/>
      <c r="R42" s="2">
        <f t="shared" ref="R42:S42" si="56">+R40+R41</f>
        <v>53483</v>
      </c>
      <c r="S42" s="2">
        <f t="shared" si="56"/>
        <v>72515</v>
      </c>
      <c r="T42" s="2">
        <f t="shared" ref="T42:U42" si="57">+T40+T41</f>
        <v>61372</v>
      </c>
      <c r="U42" s="2">
        <f t="shared" si="57"/>
        <v>64089</v>
      </c>
      <c r="V42" s="2">
        <f t="shared" ref="V42:AB42" si="58">+V40+V41</f>
        <v>72903</v>
      </c>
      <c r="W42" s="2">
        <f t="shared" si="58"/>
        <v>65737</v>
      </c>
      <c r="X42" s="2">
        <f t="shared" si="58"/>
        <v>67091</v>
      </c>
      <c r="Y42" s="2">
        <f t="shared" si="58"/>
        <v>109207</v>
      </c>
      <c r="Z42" s="2">
        <f t="shared" si="58"/>
        <v>119103</v>
      </c>
      <c r="AA42" s="2">
        <f t="shared" si="58"/>
        <v>113736</v>
      </c>
      <c r="AB42" s="2">
        <f t="shared" si="58"/>
        <v>123485</v>
      </c>
    </row>
    <row r="43" spans="2:28" x14ac:dyDescent="0.2">
      <c r="B43" t="s">
        <v>18</v>
      </c>
      <c r="D43" s="2">
        <v>5129</v>
      </c>
      <c r="E43" s="2">
        <v>3624</v>
      </c>
      <c r="F43" s="2">
        <v>3936</v>
      </c>
      <c r="G43" s="2">
        <v>6407</v>
      </c>
      <c r="H43" s="2">
        <v>4222</v>
      </c>
      <c r="I43" s="2">
        <v>2852</v>
      </c>
      <c r="J43" s="2">
        <v>4042</v>
      </c>
      <c r="K43" s="2">
        <v>6407</v>
      </c>
      <c r="L43" s="2">
        <v>4422</v>
      </c>
      <c r="M43" s="2">
        <v>4046</v>
      </c>
      <c r="N43" s="2">
        <v>14874</v>
      </c>
      <c r="O43" s="2">
        <v>6254</v>
      </c>
      <c r="P43" s="2"/>
      <c r="Q43" s="2"/>
      <c r="R43" s="2">
        <v>13973</v>
      </c>
      <c r="S43" s="2">
        <v>19121</v>
      </c>
      <c r="T43" s="2">
        <v>15685</v>
      </c>
      <c r="U43" s="2">
        <v>15738</v>
      </c>
      <c r="V43" s="2">
        <v>13372</v>
      </c>
      <c r="W43" s="2">
        <v>10481</v>
      </c>
      <c r="X43" s="2">
        <v>9680</v>
      </c>
      <c r="Y43" s="2">
        <v>14527</v>
      </c>
      <c r="Z43" s="2">
        <v>19300</v>
      </c>
      <c r="AA43" s="2">
        <v>16741</v>
      </c>
      <c r="AB43" s="2">
        <f>+SUM(K43:N43)</f>
        <v>29749</v>
      </c>
    </row>
    <row r="44" spans="2:28" s="4" customFormat="1" x14ac:dyDescent="0.2">
      <c r="B44" s="4" t="s">
        <v>19</v>
      </c>
      <c r="D44" s="5">
        <f t="shared" ref="D44:K44" si="59">+D42-D43</f>
        <v>25010</v>
      </c>
      <c r="E44" s="5">
        <f t="shared" si="59"/>
        <v>19442</v>
      </c>
      <c r="F44" s="5">
        <f t="shared" si="59"/>
        <v>20721</v>
      </c>
      <c r="G44" s="5">
        <f t="shared" si="59"/>
        <v>29559</v>
      </c>
      <c r="H44" s="5">
        <f t="shared" si="59"/>
        <v>24160</v>
      </c>
      <c r="I44" s="5">
        <f t="shared" si="59"/>
        <v>19881</v>
      </c>
      <c r="J44" s="5">
        <f t="shared" si="59"/>
        <v>22956</v>
      </c>
      <c r="K44" s="5">
        <f t="shared" si="59"/>
        <v>33916</v>
      </c>
      <c r="L44" s="5">
        <f t="shared" ref="L44:M44" si="60">+L42-L43</f>
        <v>23636</v>
      </c>
      <c r="M44" s="5">
        <f t="shared" si="60"/>
        <v>21448</v>
      </c>
      <c r="N44" s="5">
        <f t="shared" ref="N44:O44" si="61">+N42-N43</f>
        <v>14736</v>
      </c>
      <c r="O44" s="5">
        <f t="shared" si="61"/>
        <v>36330</v>
      </c>
      <c r="P44" s="5"/>
      <c r="Q44" s="5"/>
      <c r="R44" s="5">
        <f t="shared" ref="R44:S44" si="62">+R42-R43</f>
        <v>39510</v>
      </c>
      <c r="S44" s="5">
        <f t="shared" si="62"/>
        <v>53394</v>
      </c>
      <c r="T44" s="5">
        <f t="shared" ref="T44:U44" si="63">+T42-T43</f>
        <v>45687</v>
      </c>
      <c r="U44" s="5">
        <f t="shared" si="63"/>
        <v>48351</v>
      </c>
      <c r="V44" s="5">
        <f t="shared" ref="V44:AB44" si="64">+V42-V43</f>
        <v>59531</v>
      </c>
      <c r="W44" s="5">
        <f t="shared" si="64"/>
        <v>55256</v>
      </c>
      <c r="X44" s="5">
        <f t="shared" si="64"/>
        <v>57411</v>
      </c>
      <c r="Y44" s="5">
        <f t="shared" si="64"/>
        <v>94680</v>
      </c>
      <c r="Z44" s="5">
        <f t="shared" si="64"/>
        <v>99803</v>
      </c>
      <c r="AA44" s="5">
        <f t="shared" si="64"/>
        <v>96995</v>
      </c>
      <c r="AB44" s="5">
        <f t="shared" si="64"/>
        <v>93736</v>
      </c>
    </row>
    <row r="45" spans="2:28" x14ac:dyDescent="0.2">
      <c r="B45" t="s">
        <v>20</v>
      </c>
      <c r="D45" s="6">
        <f t="shared" ref="D45:K45" si="65">+D44/D46</f>
        <v>1.5246917147727936</v>
      </c>
      <c r="E45" s="6">
        <f t="shared" si="65"/>
        <v>1.1955329791418789</v>
      </c>
      <c r="F45" s="6">
        <f t="shared" si="65"/>
        <v>1.2855442500262897</v>
      </c>
      <c r="G45" s="6">
        <f t="shared" si="65"/>
        <v>1.8976491786643861</v>
      </c>
      <c r="H45" s="6">
        <f t="shared" si="65"/>
        <v>1.5245739743359175</v>
      </c>
      <c r="I45" s="6">
        <f t="shared" si="65"/>
        <v>1.2602835837746269</v>
      </c>
      <c r="J45" s="6">
        <f t="shared" si="65"/>
        <v>1.4647405630279984</v>
      </c>
      <c r="K45" s="6">
        <f t="shared" si="65"/>
        <v>2.1773628858750742</v>
      </c>
      <c r="L45" s="6">
        <f t="shared" ref="L45:M45" si="66">+L44/L46</f>
        <v>1.5283831076291186</v>
      </c>
      <c r="M45" s="6">
        <f t="shared" si="66"/>
        <v>1.3974299876043894</v>
      </c>
      <c r="N45" s="6">
        <f t="shared" ref="N45:O45" si="67">+N44/N46</f>
        <v>0.96674815403651804</v>
      </c>
      <c r="O45" s="6">
        <f t="shared" si="67"/>
        <v>2.3978828931549452</v>
      </c>
      <c r="P45" s="6"/>
      <c r="Q45" s="6"/>
      <c r="R45" s="6">
        <f t="shared" ref="R45:S45" si="68">+R44/R46</f>
        <v>6.4530744220284548</v>
      </c>
      <c r="S45" s="6">
        <f t="shared" si="68"/>
        <v>9.216876236067618</v>
      </c>
      <c r="T45" s="6">
        <f t="shared" ref="T45:U45" si="69">+T44/T46</f>
        <v>8.3063028961611227</v>
      </c>
      <c r="U45" s="6">
        <f t="shared" si="69"/>
        <v>9.2067470826545037</v>
      </c>
      <c r="V45" s="6">
        <f t="shared" ref="V45:AB45" si="70">+V44/V46</f>
        <v>11.905940450498179</v>
      </c>
      <c r="W45" s="6">
        <f t="shared" si="70"/>
        <v>11.885789215672569</v>
      </c>
      <c r="X45" s="6">
        <f t="shared" si="70"/>
        <v>3.2753479618630856</v>
      </c>
      <c r="Y45" s="6">
        <f t="shared" si="70"/>
        <v>5.6140204408927188</v>
      </c>
      <c r="Z45" s="6">
        <f t="shared" si="70"/>
        <v>6.1132002014722815</v>
      </c>
      <c r="AA45" s="6">
        <f t="shared" si="70"/>
        <v>6.1340529138031972</v>
      </c>
      <c r="AB45" s="6">
        <f t="shared" si="70"/>
        <v>6.0835556272062066</v>
      </c>
    </row>
    <row r="46" spans="2:28" x14ac:dyDescent="0.2">
      <c r="B46" t="s">
        <v>3</v>
      </c>
      <c r="D46" s="2">
        <v>16403.315999999999</v>
      </c>
      <c r="E46" s="2">
        <v>16262.203</v>
      </c>
      <c r="F46" s="2">
        <v>16118.465</v>
      </c>
      <c r="G46" s="2">
        <v>15576.641</v>
      </c>
      <c r="H46" s="2">
        <v>15847.05</v>
      </c>
      <c r="I46" s="2">
        <v>15775.021000000001</v>
      </c>
      <c r="J46" s="2">
        <v>15672.4</v>
      </c>
      <c r="K46" s="2">
        <v>15576.641</v>
      </c>
      <c r="L46" s="2">
        <v>15464.709000000001</v>
      </c>
      <c r="M46" s="2">
        <v>15348.174999999999</v>
      </c>
      <c r="N46" s="2">
        <v>15242.852999999999</v>
      </c>
      <c r="O46" s="2">
        <v>15150.865</v>
      </c>
      <c r="P46" s="2"/>
      <c r="Q46" s="2"/>
      <c r="R46" s="2">
        <v>6122.6629999999996</v>
      </c>
      <c r="S46" s="2">
        <v>5793.0690000000004</v>
      </c>
      <c r="T46" s="2">
        <v>5500.2809999999999</v>
      </c>
      <c r="U46" s="2">
        <v>5251.692</v>
      </c>
      <c r="V46" s="2">
        <v>5000.1090000000004</v>
      </c>
      <c r="W46" s="2">
        <v>4648.9129999999996</v>
      </c>
      <c r="X46" s="2">
        <v>17528.214</v>
      </c>
      <c r="Y46" s="2">
        <v>16864.919000000002</v>
      </c>
      <c r="Z46" s="2">
        <v>16325.819</v>
      </c>
      <c r="AA46" s="2">
        <v>15812.547</v>
      </c>
      <c r="AB46" s="2">
        <f>+AVERAGE(K46:N46)</f>
        <v>15408.094499999999</v>
      </c>
    </row>
    <row r="47" spans="2:28" x14ac:dyDescent="0.2"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2:28" s="7" customFormat="1" x14ac:dyDescent="0.2">
      <c r="B48" s="7" t="s">
        <v>94</v>
      </c>
      <c r="D48" s="7">
        <f t="shared" ref="D48:L48" si="71">+D34/D28</f>
        <v>0</v>
      </c>
      <c r="E48" s="7">
        <f t="shared" si="71"/>
        <v>0</v>
      </c>
      <c r="F48" s="7">
        <f t="shared" si="71"/>
        <v>0</v>
      </c>
      <c r="G48" s="7">
        <f t="shared" si="71"/>
        <v>0.36957920073038136</v>
      </c>
      <c r="H48" s="7">
        <f t="shared" si="71"/>
        <v>0.36702782399329087</v>
      </c>
      <c r="I48" s="7">
        <f t="shared" si="71"/>
        <v>0.35402086359434837</v>
      </c>
      <c r="J48" s="7">
        <f t="shared" si="71"/>
        <v>0.36612884020004766</v>
      </c>
      <c r="K48" s="7">
        <f t="shared" si="71"/>
        <v>0.39414045491301913</v>
      </c>
      <c r="L48" s="7">
        <f t="shared" si="71"/>
        <v>0.36572675896301171</v>
      </c>
      <c r="M48" s="7">
        <f>+M34/M28</f>
        <v>0.35346956013254499</v>
      </c>
      <c r="N48" s="7">
        <f>+N34/N28</f>
        <v>0.36296063352297092</v>
      </c>
      <c r="O48" s="7">
        <f>+O34/O28</f>
        <v>0.39315026541445486</v>
      </c>
      <c r="V48" s="7">
        <f t="shared" ref="V48:W48" si="72">+V34/V28</f>
        <v>0.34396294836770025</v>
      </c>
      <c r="W48" s="7">
        <f t="shared" si="72"/>
        <v>0.32207795851002652</v>
      </c>
      <c r="X48" s="7">
        <f t="shared" ref="X48:Y48" si="73">+X34/X28</f>
        <v>0.31466339293399231</v>
      </c>
      <c r="Y48" s="7">
        <f t="shared" si="73"/>
        <v>0.35349303276483562</v>
      </c>
      <c r="Z48" s="7">
        <f t="shared" ref="Z48:AA48" si="74">+Z34/Z28</f>
        <v>0.36283479707399452</v>
      </c>
      <c r="AA48" s="7">
        <f t="shared" si="74"/>
        <v>0.36500662562691849</v>
      </c>
      <c r="AB48" s="7">
        <f>+AB34/AB28</f>
        <v>0.37180617636485724</v>
      </c>
    </row>
    <row r="49" spans="2:28" s="7" customFormat="1" x14ac:dyDescent="0.2">
      <c r="B49" s="7" t="s">
        <v>95</v>
      </c>
      <c r="D49" s="7">
        <f t="shared" ref="D49:L49" si="75">+D35/D29</f>
        <v>0</v>
      </c>
      <c r="E49" s="7">
        <f t="shared" si="75"/>
        <v>0</v>
      </c>
      <c r="F49" s="7">
        <f t="shared" si="75"/>
        <v>0</v>
      </c>
      <c r="G49" s="7">
        <f t="shared" si="75"/>
        <v>0.70832129442357705</v>
      </c>
      <c r="H49" s="7">
        <f t="shared" si="75"/>
        <v>0.70990577318601422</v>
      </c>
      <c r="I49" s="7">
        <f t="shared" si="75"/>
        <v>0.70546363079243857</v>
      </c>
      <c r="J49" s="7">
        <f t="shared" si="75"/>
        <v>0.70937528009321504</v>
      </c>
      <c r="K49" s="7">
        <f t="shared" si="75"/>
        <v>0.728338452221309</v>
      </c>
      <c r="L49" s="7">
        <f t="shared" si="75"/>
        <v>0.74617672937528801</v>
      </c>
      <c r="M49" s="7">
        <f>+M35/M29</f>
        <v>0.73997439392062114</v>
      </c>
      <c r="N49" s="7">
        <f>+N35/N29</f>
        <v>0.74030914624379307</v>
      </c>
      <c r="O49" s="7">
        <f>+O35/O29</f>
        <v>0.75026575550493546</v>
      </c>
      <c r="V49" s="7">
        <f t="shared" ref="V49:W49" si="76">+V35/V29</f>
        <v>0.60772869075173597</v>
      </c>
      <c r="W49" s="7">
        <f t="shared" si="76"/>
        <v>0.63738091637683347</v>
      </c>
      <c r="X49" s="7">
        <f t="shared" ref="X49:Y49" si="77">+X35/X29</f>
        <v>0.66015101919357233</v>
      </c>
      <c r="Y49" s="7">
        <f t="shared" si="77"/>
        <v>0.69725977347460721</v>
      </c>
      <c r="Z49" s="7">
        <f t="shared" ref="Z49:AA49" si="78">+Z35/Z29</f>
        <v>0.71745446633132381</v>
      </c>
      <c r="AA49" s="7">
        <f t="shared" si="78"/>
        <v>0.70827464788732397</v>
      </c>
      <c r="AB49" s="7">
        <f>+AB35/AB29</f>
        <v>0.7388035645582256</v>
      </c>
    </row>
    <row r="50" spans="2:28" s="7" customFormat="1" x14ac:dyDescent="0.2">
      <c r="B50" s="7" t="s">
        <v>21</v>
      </c>
      <c r="D50" s="7">
        <f t="shared" ref="D50:K50" si="79">+D36/D30</f>
        <v>0.43749871502292398</v>
      </c>
      <c r="E50" s="7">
        <f t="shared" si="79"/>
        <v>0.43256307332537758</v>
      </c>
      <c r="F50" s="7">
        <f t="shared" si="79"/>
        <v>0.4225922392563175</v>
      </c>
      <c r="G50" s="7">
        <f t="shared" si="79"/>
        <v>0.42962254809908323</v>
      </c>
      <c r="H50" s="7">
        <f t="shared" si="79"/>
        <v>0.44261672782487665</v>
      </c>
      <c r="I50" s="7">
        <f t="shared" si="79"/>
        <v>0.44516302553883397</v>
      </c>
      <c r="J50" s="7">
        <f t="shared" si="79"/>
        <v>0.45170841806520817</v>
      </c>
      <c r="K50" s="7">
        <f t="shared" si="79"/>
        <v>0.45874973865774621</v>
      </c>
      <c r="L50" s="7">
        <f t="shared" ref="L50:M50" si="80">+L36/L30</f>
        <v>0.46578074554009236</v>
      </c>
      <c r="M50" s="7">
        <f t="shared" si="80"/>
        <v>0.46257155181458898</v>
      </c>
      <c r="N50" s="7">
        <f t="shared" ref="N50:O50" si="81">+N36/N30</f>
        <v>0.4622247972190035</v>
      </c>
      <c r="O50" s="7">
        <f t="shared" si="81"/>
        <v>0.46882542236524538</v>
      </c>
      <c r="R50" s="7">
        <f t="shared" ref="R50:S50" si="82">+R36/R30</f>
        <v>0.38588035777783858</v>
      </c>
      <c r="S50" s="7">
        <f t="shared" si="82"/>
        <v>0.40059902017414373</v>
      </c>
      <c r="T50" s="7">
        <f t="shared" ref="T50:U50" si="83">+T36/T30</f>
        <v>0.39075955648097049</v>
      </c>
      <c r="U50" s="7">
        <f t="shared" si="83"/>
        <v>0.38469860491899105</v>
      </c>
      <c r="V50" s="7">
        <f t="shared" ref="V50:W50" si="84">+V36/V30</f>
        <v>0.38343718820007905</v>
      </c>
      <c r="W50" s="7">
        <f t="shared" si="84"/>
        <v>0.37817768109034722</v>
      </c>
      <c r="X50" s="7">
        <f t="shared" ref="X50:Y50" si="85">+X36/X30</f>
        <v>0.38233247727810865</v>
      </c>
      <c r="Y50" s="7">
        <f t="shared" si="85"/>
        <v>0.41779359625167778</v>
      </c>
      <c r="Z50" s="7">
        <f t="shared" ref="Z50:AA50" si="86">+Z36/Z30</f>
        <v>0.43309630561360085</v>
      </c>
      <c r="AA50" s="7">
        <f t="shared" si="86"/>
        <v>0.44131129577207562</v>
      </c>
      <c r="AB50" s="7">
        <f t="shared" ref="AB50" si="87">+AB36/AB30</f>
        <v>0.46206349815233932</v>
      </c>
    </row>
    <row r="51" spans="2:28" s="7" customFormat="1" x14ac:dyDescent="0.2">
      <c r="B51" s="7" t="s">
        <v>22</v>
      </c>
      <c r="D51" s="7">
        <f t="shared" ref="D51:K51" si="88">+D40/D30</f>
        <v>0.30817862209338187</v>
      </c>
      <c r="E51" s="7">
        <f t="shared" si="88"/>
        <v>0.27816150146457891</v>
      </c>
      <c r="F51" s="7">
        <f t="shared" si="88"/>
        <v>0.27615202005635303</v>
      </c>
      <c r="G51" s="7">
        <f t="shared" si="88"/>
        <v>0.30742441572630896</v>
      </c>
      <c r="H51" s="7">
        <f t="shared" si="88"/>
        <v>0.29859968788223878</v>
      </c>
      <c r="I51" s="7">
        <f t="shared" si="88"/>
        <v>0.28115945572576012</v>
      </c>
      <c r="J51" s="7">
        <f t="shared" si="88"/>
        <v>0.30133634271156895</v>
      </c>
      <c r="K51" s="7">
        <f t="shared" si="88"/>
        <v>0.33763746602550698</v>
      </c>
      <c r="L51" s="7">
        <f t="shared" ref="L51:M51" si="89">+L40/L30</f>
        <v>0.30742785362467356</v>
      </c>
      <c r="M51" s="7">
        <f t="shared" si="89"/>
        <v>0.29555708406682446</v>
      </c>
      <c r="N51" s="7">
        <f t="shared" ref="N51:O51" si="90">+N40/N30</f>
        <v>0.31171389444854103</v>
      </c>
      <c r="O51" s="7">
        <f t="shared" si="90"/>
        <v>0.34458567980691873</v>
      </c>
      <c r="R51" s="7">
        <f t="shared" ref="R51:S51" si="91">+R40/R30</f>
        <v>0.28722339232473537</v>
      </c>
      <c r="S51" s="7">
        <f t="shared" si="91"/>
        <v>0.30477290717326661</v>
      </c>
      <c r="T51" s="7">
        <f t="shared" ref="T51:U51" si="92">+T40/T30</f>
        <v>0.27835410106706115</v>
      </c>
      <c r="U51" s="7">
        <f t="shared" si="92"/>
        <v>0.26760428208729942</v>
      </c>
      <c r="V51" s="7">
        <f t="shared" ref="V51:W51" si="93">+V40/V30</f>
        <v>0.26694026619477024</v>
      </c>
      <c r="W51" s="7">
        <f t="shared" si="93"/>
        <v>0.24572017188496928</v>
      </c>
      <c r="X51" s="7">
        <f t="shared" ref="X51:Y51" si="94">+X40/X30</f>
        <v>0.24147314354406862</v>
      </c>
      <c r="Y51" s="7">
        <f t="shared" si="94"/>
        <v>0.29782377527561593</v>
      </c>
      <c r="Z51" s="7">
        <f t="shared" ref="Z51:AA51" si="95">+Z40/Z30</f>
        <v>0.30288744395528594</v>
      </c>
      <c r="AA51" s="7">
        <f t="shared" si="95"/>
        <v>0.29821412265024722</v>
      </c>
      <c r="AB51" s="7">
        <f t="shared" ref="AB51" si="96">+AB40/AB30</f>
        <v>0.31510222870075566</v>
      </c>
    </row>
    <row r="52" spans="2:28" s="7" customFormat="1" x14ac:dyDescent="0.2">
      <c r="B52" s="7" t="s">
        <v>23</v>
      </c>
      <c r="D52" s="7">
        <f t="shared" ref="D52:K52" si="97">+D44/D30</f>
        <v>0.25709821336787353</v>
      </c>
      <c r="E52" s="7">
        <f t="shared" si="97"/>
        <v>0.23435673043310551</v>
      </c>
      <c r="F52" s="7">
        <f t="shared" si="97"/>
        <v>0.22986044860559537</v>
      </c>
      <c r="G52" s="7">
        <f t="shared" si="97"/>
        <v>0.25230892671184935</v>
      </c>
      <c r="H52" s="7">
        <f t="shared" si="97"/>
        <v>0.25475557805052934</v>
      </c>
      <c r="I52" s="7">
        <f t="shared" si="97"/>
        <v>0.24305292370135825</v>
      </c>
      <c r="J52" s="7">
        <f t="shared" si="97"/>
        <v>0.25649735189613176</v>
      </c>
      <c r="K52" s="7">
        <f t="shared" si="97"/>
        <v>0.28363788417311309</v>
      </c>
      <c r="L52" s="7">
        <f t="shared" ref="L52:M52" si="98">+L44/L30</f>
        <v>0.26044318094167684</v>
      </c>
      <c r="M52" s="7">
        <f t="shared" si="98"/>
        <v>0.25004371801298714</v>
      </c>
      <c r="N52" s="7">
        <f t="shared" ref="N52:O52" si="99">+N44/N30</f>
        <v>0.15523016959865163</v>
      </c>
      <c r="O52" s="7">
        <f t="shared" si="99"/>
        <v>0.29227674979887369</v>
      </c>
      <c r="R52" s="7">
        <f t="shared" ref="R52:S52" si="100">+R44/R30</f>
        <v>0.21614376760852322</v>
      </c>
      <c r="S52" s="7">
        <f t="shared" si="100"/>
        <v>0.22845773698735639</v>
      </c>
      <c r="T52" s="7">
        <f t="shared" ref="T52:U52" si="101">+T44/T30</f>
        <v>0.211867983064288</v>
      </c>
      <c r="U52" s="7">
        <f t="shared" si="101"/>
        <v>0.21092420845075338</v>
      </c>
      <c r="V52" s="7">
        <f t="shared" ref="V52:W52" si="102">+V44/V30</f>
        <v>0.22414202074587247</v>
      </c>
      <c r="W52" s="7">
        <f t="shared" si="102"/>
        <v>0.21238094505984456</v>
      </c>
      <c r="X52" s="7">
        <f t="shared" ref="X52:Y52" si="103">+X44/X30</f>
        <v>0.20913611278072236</v>
      </c>
      <c r="Y52" s="7">
        <f t="shared" si="103"/>
        <v>0.25881793355694238</v>
      </c>
      <c r="Z52" s="7">
        <f t="shared" ref="Z52:AA52" si="104">+Z44/Z30</f>
        <v>0.25309640705199732</v>
      </c>
      <c r="AA52" s="7">
        <f t="shared" si="104"/>
        <v>0.25306234264320282</v>
      </c>
      <c r="AB52" s="7">
        <f t="shared" ref="AB52" si="105">+AB44/AB30</f>
        <v>0.23971255769943867</v>
      </c>
    </row>
    <row r="53" spans="2:28" s="7" customFormat="1" x14ac:dyDescent="0.2">
      <c r="B53" s="7" t="s">
        <v>24</v>
      </c>
      <c r="D53" s="7">
        <f t="shared" ref="D53:K53" si="106">+D43/D42</f>
        <v>0.17017817445834302</v>
      </c>
      <c r="E53" s="7">
        <f t="shared" si="106"/>
        <v>0.15711436746726784</v>
      </c>
      <c r="F53" s="7">
        <f t="shared" si="106"/>
        <v>0.15963012531938192</v>
      </c>
      <c r="G53" s="7">
        <f t="shared" si="106"/>
        <v>0.17814046599566258</v>
      </c>
      <c r="H53" s="7">
        <f t="shared" si="106"/>
        <v>0.14875625396377987</v>
      </c>
      <c r="I53" s="7">
        <f t="shared" si="106"/>
        <v>0.12545638499098227</v>
      </c>
      <c r="J53" s="7">
        <f t="shared" si="106"/>
        <v>0.14971479368842136</v>
      </c>
      <c r="K53" s="7">
        <f t="shared" si="106"/>
        <v>0.15889194752374575</v>
      </c>
      <c r="L53" s="7">
        <f t="shared" ref="L53:M53" si="107">+L43/L42</f>
        <v>0.1576021099151757</v>
      </c>
      <c r="M53" s="7">
        <f t="shared" si="107"/>
        <v>0.15870400878638111</v>
      </c>
      <c r="N53" s="7">
        <f t="shared" ref="N53:O53" si="108">+N43/N42</f>
        <v>0.50233029381965555</v>
      </c>
      <c r="O53" s="7">
        <f t="shared" si="108"/>
        <v>0.14686267142588766</v>
      </c>
      <c r="R53" s="7">
        <f t="shared" ref="R53:S53" si="109">+R43/R42</f>
        <v>0.26126058747639436</v>
      </c>
      <c r="S53" s="7">
        <f t="shared" si="109"/>
        <v>0.26368337585327173</v>
      </c>
      <c r="T53" s="7">
        <f t="shared" ref="T53:U53" si="110">+T43/T42</f>
        <v>0.25557257381216192</v>
      </c>
      <c r="U53" s="7">
        <f t="shared" si="110"/>
        <v>0.24556476150353415</v>
      </c>
      <c r="V53" s="7">
        <f t="shared" ref="V53:W53" si="111">+V43/V42</f>
        <v>0.18342180705869443</v>
      </c>
      <c r="W53" s="7">
        <f t="shared" si="111"/>
        <v>0.15943836804235059</v>
      </c>
      <c r="X53" s="7">
        <f t="shared" ref="X53:Y53" si="112">+X43/X42</f>
        <v>0.14428164731484103</v>
      </c>
      <c r="Y53" s="7">
        <f t="shared" si="112"/>
        <v>0.13302260844085087</v>
      </c>
      <c r="Z53" s="7">
        <f t="shared" ref="Z53:AA53" si="113">+Z43/Z42</f>
        <v>0.16204461684424407</v>
      </c>
      <c r="AA53" s="7">
        <f t="shared" si="113"/>
        <v>0.14719174228036858</v>
      </c>
      <c r="AB53" s="7">
        <f t="shared" ref="AB53" si="114">+AB43/AB42</f>
        <v>0.24091185164189982</v>
      </c>
    </row>
    <row r="54" spans="2:28" x14ac:dyDescent="0.2">
      <c r="L54" s="2"/>
      <c r="M54" s="2"/>
      <c r="N54" s="2"/>
      <c r="O54" s="2"/>
      <c r="P54" s="2"/>
      <c r="Q54" s="2"/>
      <c r="R54" s="2"/>
      <c r="S54" s="2"/>
      <c r="T54" s="2"/>
      <c r="Z54" s="2"/>
      <c r="AA54" s="2"/>
      <c r="AB54" s="2"/>
    </row>
    <row r="55" spans="2:28" s="8" customFormat="1" x14ac:dyDescent="0.2">
      <c r="B55" s="8" t="s">
        <v>25</v>
      </c>
      <c r="H55" s="8">
        <f t="shared" ref="H55:O55" si="115">+H30/D30-1</f>
        <v>-2.5103312156911084E-2</v>
      </c>
      <c r="I55" s="8">
        <f t="shared" si="115"/>
        <v>-1.4006919080509661E-2</v>
      </c>
      <c r="J55" s="8">
        <f t="shared" si="115"/>
        <v>-7.1883389168682088E-3</v>
      </c>
      <c r="K55" s="8">
        <f t="shared" si="115"/>
        <v>2.0665107465387411E-2</v>
      </c>
      <c r="L55" s="8">
        <f t="shared" si="115"/>
        <v>-4.3053270909781061E-2</v>
      </c>
      <c r="M55" s="8">
        <f t="shared" si="115"/>
        <v>4.8657041211780383E-2</v>
      </c>
      <c r="N55" s="8">
        <f t="shared" si="115"/>
        <v>6.0694093722764686E-2</v>
      </c>
      <c r="O55" s="8">
        <f t="shared" si="115"/>
        <v>3.9514948776918191E-2</v>
      </c>
      <c r="S55" s="8">
        <f t="shared" ref="S55" si="116">+S30/R30-1</f>
        <v>0.27856341803659834</v>
      </c>
      <c r="T55" s="8">
        <f t="shared" ref="T55" si="117">+T30/S30-1</f>
        <v>-7.7342061913013738E-2</v>
      </c>
      <c r="U55" s="8">
        <f t="shared" ref="U55" si="118">+U30/T30-1</f>
        <v>6.304518199398057E-2</v>
      </c>
      <c r="V55" s="8">
        <f t="shared" ref="V55:Z55" si="119">+V30/U30-1</f>
        <v>0.15861957650261305</v>
      </c>
      <c r="W55" s="8">
        <f t="shared" si="119"/>
        <v>-2.04107758052674E-2</v>
      </c>
      <c r="X55" s="8">
        <f t="shared" si="119"/>
        <v>5.5120803769784787E-2</v>
      </c>
      <c r="Y55" s="8">
        <f t="shared" si="119"/>
        <v>0.33259384733074704</v>
      </c>
      <c r="Z55" s="8">
        <f t="shared" si="119"/>
        <v>7.7937876041846099E-2</v>
      </c>
      <c r="AA55" s="8">
        <f>+AA30/Z30-1</f>
        <v>-2.800460530319937E-2</v>
      </c>
      <c r="AB55" s="8">
        <f>+AB30/AA30-1</f>
        <v>2.021994077514111E-2</v>
      </c>
    </row>
    <row r="57" spans="2:28" x14ac:dyDescent="0.2">
      <c r="B57" t="s">
        <v>26</v>
      </c>
      <c r="F57" s="2">
        <f>+F58-F69</f>
        <v>49040</v>
      </c>
      <c r="H57" s="2">
        <f t="shared" ref="H57:O57" si="120">+H58-H69</f>
        <v>56718</v>
      </c>
      <c r="I57" s="2">
        <f t="shared" si="120"/>
        <v>57263</v>
      </c>
      <c r="J57" s="2">
        <f t="shared" si="120"/>
        <v>51011</v>
      </c>
      <c r="K57" s="2">
        <f t="shared" si="120"/>
        <v>64535</v>
      </c>
      <c r="L57" s="2">
        <f t="shared" si="120"/>
        <v>57747</v>
      </c>
      <c r="M57" s="2">
        <f t="shared" si="120"/>
        <v>51737</v>
      </c>
      <c r="N57" s="2">
        <f t="shared" si="120"/>
        <v>50021</v>
      </c>
      <c r="O57" s="2">
        <f t="shared" si="120"/>
        <v>44569</v>
      </c>
      <c r="AA57" s="2"/>
      <c r="AB57" s="2">
        <f>+O57</f>
        <v>44569</v>
      </c>
    </row>
    <row r="58" spans="2:28" x14ac:dyDescent="0.2">
      <c r="B58" t="s">
        <v>5</v>
      </c>
      <c r="F58" s="2">
        <f>23646+24658+120805</f>
        <v>169109</v>
      </c>
      <c r="H58" s="2">
        <f>24687+31185+110461</f>
        <v>166333</v>
      </c>
      <c r="I58" s="2">
        <f>28408+34074+104061</f>
        <v>166543</v>
      </c>
      <c r="J58" s="2">
        <f>29965+31590+100544</f>
        <v>162099</v>
      </c>
      <c r="K58" s="2">
        <f>40760+32340+99475</f>
        <v>172575</v>
      </c>
      <c r="L58" s="2">
        <f>32695+34455+95187</f>
        <v>162337</v>
      </c>
      <c r="M58" s="2">
        <f>25565+36236+91240</f>
        <v>153041</v>
      </c>
      <c r="N58" s="2">
        <f>29943+35228+91479</f>
        <v>156650</v>
      </c>
      <c r="O58" s="2">
        <f>30299+23476+87593</f>
        <v>141368</v>
      </c>
    </row>
    <row r="59" spans="2:28" x14ac:dyDescent="0.2">
      <c r="B59" t="s">
        <v>27</v>
      </c>
      <c r="F59" s="2">
        <v>28184</v>
      </c>
      <c r="H59" s="2">
        <v>17936</v>
      </c>
      <c r="I59" s="2">
        <v>19549</v>
      </c>
      <c r="J59" s="2">
        <v>29508</v>
      </c>
      <c r="K59" s="2">
        <v>23194</v>
      </c>
      <c r="L59" s="2">
        <v>21837</v>
      </c>
      <c r="M59" s="2">
        <v>22795</v>
      </c>
      <c r="N59" s="2">
        <v>33410</v>
      </c>
      <c r="O59" s="2">
        <v>29639</v>
      </c>
    </row>
    <row r="60" spans="2:28" x14ac:dyDescent="0.2">
      <c r="B60" t="s">
        <v>28</v>
      </c>
      <c r="F60" s="2">
        <v>32748</v>
      </c>
      <c r="H60" s="2">
        <v>17963</v>
      </c>
      <c r="I60" s="2">
        <v>19637</v>
      </c>
      <c r="J60" s="2">
        <v>31477</v>
      </c>
      <c r="K60" s="2">
        <v>26908</v>
      </c>
      <c r="L60" s="2">
        <v>19313</v>
      </c>
      <c r="M60" s="2">
        <v>20377</v>
      </c>
      <c r="N60" s="2">
        <v>32833</v>
      </c>
      <c r="O60" s="2">
        <v>29667</v>
      </c>
    </row>
    <row r="61" spans="2:28" x14ac:dyDescent="0.2">
      <c r="B61" t="s">
        <v>29</v>
      </c>
      <c r="F61" s="2">
        <v>4946</v>
      </c>
      <c r="H61" s="2">
        <v>7482</v>
      </c>
      <c r="I61" s="2">
        <v>7351</v>
      </c>
      <c r="J61" s="2">
        <v>6331</v>
      </c>
      <c r="K61" s="2">
        <v>6511</v>
      </c>
      <c r="L61" s="2">
        <v>6232</v>
      </c>
      <c r="M61" s="2">
        <v>6165</v>
      </c>
      <c r="N61" s="2">
        <v>7286</v>
      </c>
      <c r="O61" s="2">
        <v>6911</v>
      </c>
    </row>
    <row r="62" spans="2:28" x14ac:dyDescent="0.2">
      <c r="B62" t="s">
        <v>83</v>
      </c>
      <c r="F62" s="2">
        <f>21223</f>
        <v>21223</v>
      </c>
      <c r="H62" s="2">
        <f>13660</f>
        <v>13660</v>
      </c>
      <c r="I62" s="2">
        <f>13640</f>
        <v>13640</v>
      </c>
      <c r="J62" s="2">
        <f>14695</f>
        <v>14695</v>
      </c>
      <c r="K62" s="2">
        <f>13979</f>
        <v>13979</v>
      </c>
      <c r="L62" s="2">
        <v>13884</v>
      </c>
      <c r="M62" s="2">
        <v>14297</v>
      </c>
      <c r="N62" s="2">
        <v>14287</v>
      </c>
      <c r="O62" s="2">
        <v>13248</v>
      </c>
    </row>
    <row r="63" spans="2:28" x14ac:dyDescent="0.2">
      <c r="B63" t="s">
        <v>31</v>
      </c>
      <c r="F63" s="2">
        <v>42117</v>
      </c>
      <c r="H63" s="2">
        <v>43398</v>
      </c>
      <c r="I63" s="2">
        <v>43550</v>
      </c>
      <c r="J63" s="2">
        <v>43715</v>
      </c>
      <c r="K63" s="2">
        <v>43666</v>
      </c>
      <c r="L63" s="2">
        <v>43546</v>
      </c>
      <c r="M63" s="2">
        <v>44502</v>
      </c>
      <c r="N63" s="2">
        <v>45680</v>
      </c>
      <c r="O63" s="2">
        <v>46069</v>
      </c>
    </row>
    <row r="64" spans="2:28" x14ac:dyDescent="0.2">
      <c r="B64" t="s">
        <v>84</v>
      </c>
      <c r="F64" s="2">
        <v>54428</v>
      </c>
      <c r="H64" s="2">
        <v>65388</v>
      </c>
      <c r="I64" s="2">
        <v>64768</v>
      </c>
      <c r="J64" s="2">
        <v>64758</v>
      </c>
      <c r="K64" s="2">
        <v>66681</v>
      </c>
      <c r="L64" s="2">
        <v>70262</v>
      </c>
      <c r="M64" s="2">
        <v>70435</v>
      </c>
      <c r="N64" s="2">
        <v>74834</v>
      </c>
      <c r="O64" s="2">
        <v>77183</v>
      </c>
    </row>
    <row r="65" spans="2:15" s="4" customFormat="1" x14ac:dyDescent="0.2">
      <c r="B65" s="4" t="s">
        <v>32</v>
      </c>
      <c r="D65" s="5"/>
      <c r="E65" s="5"/>
      <c r="F65" s="5">
        <f t="shared" ref="F65:J65" si="121">SUM(F58:F64)</f>
        <v>352755</v>
      </c>
      <c r="G65" s="5">
        <f t="shared" si="121"/>
        <v>0</v>
      </c>
      <c r="H65" s="5">
        <f t="shared" si="121"/>
        <v>332160</v>
      </c>
      <c r="I65" s="5">
        <f t="shared" si="121"/>
        <v>335038</v>
      </c>
      <c r="J65" s="5">
        <f t="shared" si="121"/>
        <v>352583</v>
      </c>
      <c r="K65" s="5">
        <f>SUM(K58:K64)</f>
        <v>353514</v>
      </c>
      <c r="L65" s="5">
        <f>SUM(L58:L64)</f>
        <v>337411</v>
      </c>
      <c r="M65" s="5">
        <f>SUM(M58:M64)</f>
        <v>331612</v>
      </c>
      <c r="N65" s="5">
        <f>SUM(N58:N64)</f>
        <v>364980</v>
      </c>
      <c r="O65" s="5">
        <f>SUM(O58:O64)</f>
        <v>344085</v>
      </c>
    </row>
    <row r="66" spans="2:15" x14ac:dyDescent="0.2">
      <c r="B66" t="s">
        <v>33</v>
      </c>
      <c r="F66" s="2">
        <v>64115</v>
      </c>
      <c r="H66" s="2">
        <v>42945</v>
      </c>
      <c r="I66" s="2">
        <v>46699</v>
      </c>
      <c r="J66" s="2">
        <v>62611</v>
      </c>
      <c r="K66" s="2">
        <v>58146</v>
      </c>
      <c r="L66" s="2">
        <v>45753</v>
      </c>
      <c r="M66" s="2">
        <v>47574</v>
      </c>
      <c r="N66" s="2">
        <v>68960</v>
      </c>
      <c r="O66" s="2">
        <v>61910</v>
      </c>
    </row>
    <row r="67" spans="2:15" x14ac:dyDescent="0.2">
      <c r="B67" t="s">
        <v>85</v>
      </c>
      <c r="F67" s="2">
        <f>60845</f>
        <v>60845</v>
      </c>
      <c r="H67" s="2">
        <f>56425</f>
        <v>56425</v>
      </c>
      <c r="I67" s="2">
        <f>58897</f>
        <v>58897</v>
      </c>
      <c r="J67" s="2">
        <f>58829</f>
        <v>58829</v>
      </c>
      <c r="K67" s="2">
        <f>54611</f>
        <v>54611</v>
      </c>
      <c r="L67" s="2">
        <v>57298</v>
      </c>
      <c r="M67" s="2">
        <v>60889</v>
      </c>
      <c r="N67" s="2">
        <v>78304</v>
      </c>
      <c r="O67" s="2">
        <v>61151</v>
      </c>
    </row>
    <row r="68" spans="2:15" x14ac:dyDescent="0.2">
      <c r="B68" t="s">
        <v>34</v>
      </c>
      <c r="F68" s="2">
        <v>7912</v>
      </c>
      <c r="H68" s="2">
        <v>8131</v>
      </c>
      <c r="I68" s="2">
        <v>8158</v>
      </c>
      <c r="J68" s="2">
        <v>8061</v>
      </c>
      <c r="K68" s="2">
        <v>8264</v>
      </c>
      <c r="L68" s="2">
        <v>8012</v>
      </c>
      <c r="M68" s="2">
        <v>8053</v>
      </c>
      <c r="N68" s="2">
        <v>8249</v>
      </c>
      <c r="O68" s="2">
        <v>8461</v>
      </c>
    </row>
    <row r="69" spans="2:15" x14ac:dyDescent="0.2">
      <c r="B69" t="s">
        <v>6</v>
      </c>
      <c r="F69" s="2">
        <f>9982+11128+98959</f>
        <v>120069</v>
      </c>
      <c r="H69" s="2">
        <f>1996+10578+97041</f>
        <v>109615</v>
      </c>
      <c r="I69" s="2">
        <f>3993+7216+98071</f>
        <v>109280</v>
      </c>
      <c r="J69" s="2">
        <f>5985+9822+95281</f>
        <v>111088</v>
      </c>
      <c r="K69" s="2">
        <f>1998+10954+95088</f>
        <v>108040</v>
      </c>
      <c r="L69" s="2">
        <f>1997+10762+91831</f>
        <v>104590</v>
      </c>
      <c r="M69" s="2">
        <f>2994+12114+86196</f>
        <v>101304</v>
      </c>
      <c r="N69" s="2">
        <f>9967+10912+85750</f>
        <v>106629</v>
      </c>
      <c r="O69" s="2">
        <f>1995+10848+83956</f>
        <v>96799</v>
      </c>
    </row>
    <row r="70" spans="2:15" x14ac:dyDescent="0.2">
      <c r="B70" t="s">
        <v>86</v>
      </c>
      <c r="F70" s="2">
        <v>49142</v>
      </c>
      <c r="H70" s="2">
        <v>52886</v>
      </c>
      <c r="I70" s="2">
        <v>51730</v>
      </c>
      <c r="J70" s="2">
        <v>49848</v>
      </c>
      <c r="K70" s="2">
        <v>50353</v>
      </c>
      <c r="L70" s="2">
        <v>47564</v>
      </c>
      <c r="M70" s="2">
        <v>47084</v>
      </c>
      <c r="N70" s="2">
        <v>45888</v>
      </c>
      <c r="O70" s="2">
        <v>49006</v>
      </c>
    </row>
    <row r="71" spans="2:15" s="4" customFormat="1" x14ac:dyDescent="0.2">
      <c r="B71" s="4" t="s">
        <v>35</v>
      </c>
      <c r="D71" s="5"/>
      <c r="E71" s="5"/>
      <c r="F71" s="5">
        <f>SUM(F66:F70)</f>
        <v>302083</v>
      </c>
      <c r="G71" s="5">
        <f t="shared" ref="G71:N71" si="122">SUM(G66:G70)</f>
        <v>0</v>
      </c>
      <c r="H71" s="5">
        <f t="shared" si="122"/>
        <v>270002</v>
      </c>
      <c r="I71" s="5">
        <f t="shared" si="122"/>
        <v>274764</v>
      </c>
      <c r="J71" s="5">
        <f t="shared" si="122"/>
        <v>290437</v>
      </c>
      <c r="K71" s="5">
        <f t="shared" si="122"/>
        <v>279414</v>
      </c>
      <c r="L71" s="5">
        <f t="shared" si="122"/>
        <v>263217</v>
      </c>
      <c r="M71" s="5">
        <f t="shared" si="122"/>
        <v>264904</v>
      </c>
      <c r="N71" s="5">
        <f t="shared" si="122"/>
        <v>308030</v>
      </c>
      <c r="O71" s="5">
        <f t="shared" ref="O71" si="123">SUM(O66:O70)</f>
        <v>277327</v>
      </c>
    </row>
    <row r="72" spans="2:15" x14ac:dyDescent="0.2">
      <c r="B72" t="s">
        <v>36</v>
      </c>
      <c r="F72" s="2">
        <f>+F65-F71</f>
        <v>50672</v>
      </c>
      <c r="H72" s="2">
        <f>+H65-H71</f>
        <v>62158</v>
      </c>
      <c r="I72" s="2">
        <f>+I65-I71</f>
        <v>60274</v>
      </c>
      <c r="J72" s="2">
        <f>+J65-J71</f>
        <v>62146</v>
      </c>
      <c r="K72" s="2">
        <f>+K65-K71</f>
        <v>74100</v>
      </c>
      <c r="L72" s="2">
        <v>74194</v>
      </c>
      <c r="M72" s="2">
        <v>66708</v>
      </c>
      <c r="N72" s="2">
        <v>56950</v>
      </c>
      <c r="O72" s="2">
        <v>66758</v>
      </c>
    </row>
    <row r="73" spans="2:15" x14ac:dyDescent="0.2">
      <c r="B73" t="s">
        <v>37</v>
      </c>
      <c r="F73" s="2">
        <f>+F72+F71</f>
        <v>352755</v>
      </c>
      <c r="H73" s="2">
        <f t="shared" ref="H73:O73" si="124">+H72+H71</f>
        <v>332160</v>
      </c>
      <c r="I73" s="2">
        <f t="shared" si="124"/>
        <v>335038</v>
      </c>
      <c r="J73" s="2">
        <f t="shared" si="124"/>
        <v>352583</v>
      </c>
      <c r="K73" s="2">
        <f t="shared" si="124"/>
        <v>353514</v>
      </c>
      <c r="L73" s="2">
        <f t="shared" si="124"/>
        <v>337411</v>
      </c>
      <c r="M73" s="2">
        <f t="shared" si="124"/>
        <v>331612</v>
      </c>
      <c r="N73" s="2">
        <f t="shared" si="124"/>
        <v>364980</v>
      </c>
      <c r="O73" s="2">
        <f t="shared" si="124"/>
        <v>344085</v>
      </c>
    </row>
    <row r="75" spans="2:15" x14ac:dyDescent="0.2">
      <c r="B75" t="s">
        <v>70</v>
      </c>
      <c r="G75" s="2">
        <f t="shared" ref="G75:O75" si="125">+SUM(D44:G44)</f>
        <v>94732</v>
      </c>
      <c r="H75" s="2">
        <f t="shared" si="125"/>
        <v>93882</v>
      </c>
      <c r="I75" s="2">
        <f t="shared" si="125"/>
        <v>94321</v>
      </c>
      <c r="J75" s="2">
        <f t="shared" si="125"/>
        <v>96556</v>
      </c>
      <c r="K75" s="2">
        <f t="shared" si="125"/>
        <v>100913</v>
      </c>
      <c r="L75" s="2">
        <f t="shared" si="125"/>
        <v>100389</v>
      </c>
      <c r="M75" s="2">
        <f t="shared" si="125"/>
        <v>101956</v>
      </c>
      <c r="N75" s="2">
        <f t="shared" si="125"/>
        <v>93736</v>
      </c>
      <c r="O75" s="2">
        <f t="shared" si="125"/>
        <v>96150</v>
      </c>
    </row>
    <row r="76" spans="2:15" s="7" customFormat="1" x14ac:dyDescent="0.2">
      <c r="B76" s="7" t="s">
        <v>99</v>
      </c>
      <c r="H76" s="7">
        <f t="shared" ref="H76:K76" si="126">+H75/(H59+H60+H61+H62+H63+H64)</f>
        <v>0.56614423465418784</v>
      </c>
      <c r="I76" s="7">
        <f t="shared" si="126"/>
        <v>0.55978515682957952</v>
      </c>
      <c r="J76" s="7">
        <f t="shared" si="126"/>
        <v>0.50689821717309591</v>
      </c>
      <c r="K76" s="7">
        <f t="shared" si="126"/>
        <v>0.55771834706724366</v>
      </c>
      <c r="L76" s="7">
        <f>+L75/(L59+L60+L61+L62+L63+L64)</f>
        <v>0.57340895849754958</v>
      </c>
      <c r="M76" s="7">
        <f>+M75/(M59+M60+M61+M62+M63+M64)</f>
        <v>0.57095497029192865</v>
      </c>
      <c r="N76" s="7">
        <f>+N75/(N59+N60+N61+N62+N63+N64)</f>
        <v>0.44993999903998466</v>
      </c>
      <c r="O76" s="7">
        <f>+O75/(O59+O60+O61+O62+O63+O64)</f>
        <v>0.47430654557831853</v>
      </c>
    </row>
    <row r="78" spans="2:15" x14ac:dyDescent="0.2">
      <c r="B78" t="s">
        <v>39</v>
      </c>
      <c r="G78" s="2">
        <f t="shared" ref="G78:O78" si="127">+G44</f>
        <v>29559</v>
      </c>
      <c r="H78" s="2">
        <f t="shared" si="127"/>
        <v>24160</v>
      </c>
      <c r="I78" s="2">
        <f t="shared" si="127"/>
        <v>19881</v>
      </c>
      <c r="J78" s="2">
        <f t="shared" si="127"/>
        <v>22956</v>
      </c>
      <c r="K78" s="2">
        <f t="shared" si="127"/>
        <v>33916</v>
      </c>
      <c r="L78" s="2">
        <f t="shared" si="127"/>
        <v>23636</v>
      </c>
      <c r="M78" s="2">
        <f t="shared" si="127"/>
        <v>21448</v>
      </c>
      <c r="N78" s="2">
        <f t="shared" si="127"/>
        <v>14736</v>
      </c>
      <c r="O78" s="2">
        <f t="shared" si="127"/>
        <v>36330</v>
      </c>
    </row>
    <row r="79" spans="2:15" x14ac:dyDescent="0.2">
      <c r="B79" t="s">
        <v>40</v>
      </c>
      <c r="G79" s="2">
        <v>29998</v>
      </c>
      <c r="H79" s="2">
        <f>54158-G79</f>
        <v>24160</v>
      </c>
      <c r="I79" s="2">
        <f>74039-SUM(G79:H79)</f>
        <v>19881</v>
      </c>
      <c r="J79" s="2">
        <f>96995-SUM(G79:I79)</f>
        <v>22956</v>
      </c>
      <c r="K79" s="2">
        <v>33916</v>
      </c>
      <c r="L79" s="2">
        <f>57552-K79</f>
        <v>23636</v>
      </c>
      <c r="M79" s="2">
        <f>79000-SUM(K79:L79)</f>
        <v>21448</v>
      </c>
      <c r="N79" s="2">
        <f>93736-SUM(K79:M79)</f>
        <v>14736</v>
      </c>
      <c r="O79" s="2">
        <v>36330</v>
      </c>
    </row>
    <row r="80" spans="2:15" x14ac:dyDescent="0.2">
      <c r="B80" t="s">
        <v>41</v>
      </c>
      <c r="G80" s="2">
        <v>2916</v>
      </c>
      <c r="H80" s="2">
        <f>5814-G80</f>
        <v>2898</v>
      </c>
      <c r="I80" s="2">
        <f>8866-SUM(G80:H80)</f>
        <v>3052</v>
      </c>
      <c r="J80" s="2">
        <f>11519-SUM(G80:I80)</f>
        <v>2653</v>
      </c>
      <c r="K80" s="2">
        <v>2848</v>
      </c>
      <c r="L80" s="2">
        <f>5684-K80</f>
        <v>2836</v>
      </c>
      <c r="M80" s="2">
        <f>8534-SUM(K80:L80)</f>
        <v>2850</v>
      </c>
      <c r="N80" s="2">
        <f>11445-SUM(K80:M80)</f>
        <v>2911</v>
      </c>
      <c r="O80" s="2">
        <v>3080</v>
      </c>
    </row>
    <row r="81" spans="2:28" x14ac:dyDescent="0.2">
      <c r="B81" t="s">
        <v>42</v>
      </c>
      <c r="G81" s="2">
        <v>2905</v>
      </c>
      <c r="H81" s="2">
        <f>5591-G81</f>
        <v>2686</v>
      </c>
      <c r="I81" s="2">
        <f>8208-SUM(G81:H81)</f>
        <v>2617</v>
      </c>
      <c r="J81" s="2">
        <f>10833-SUM(G81:I81)</f>
        <v>2625</v>
      </c>
      <c r="K81" s="2">
        <v>2997</v>
      </c>
      <c r="L81" s="2">
        <f>5961-K81</f>
        <v>2964</v>
      </c>
      <c r="M81" s="2">
        <f>8830-SUM(K81:L81)</f>
        <v>2869</v>
      </c>
      <c r="N81" s="2">
        <f>11688-SUM(K81:M81)</f>
        <v>2858</v>
      </c>
      <c r="O81" s="2">
        <v>3286</v>
      </c>
    </row>
    <row r="82" spans="2:28" x14ac:dyDescent="0.2">
      <c r="B82" t="s">
        <v>43</v>
      </c>
      <c r="G82" s="2">
        <v>-317</v>
      </c>
      <c r="H82" s="2">
        <f>+-1732-G82</f>
        <v>-1415</v>
      </c>
      <c r="I82" s="2">
        <f>+-1651-SUM(G82:H82)</f>
        <v>81</v>
      </c>
      <c r="J82" s="2">
        <f>+-2227-SUM(G82:I82)</f>
        <v>-576</v>
      </c>
      <c r="K82" s="2">
        <v>-989</v>
      </c>
      <c r="L82" s="2">
        <f>-1971-K82</f>
        <v>-982</v>
      </c>
      <c r="M82" s="2">
        <f>-1964-SUM(K82:L82)</f>
        <v>7</v>
      </c>
      <c r="N82" s="2">
        <f>-2266-SUM(K82:M82)</f>
        <v>-302</v>
      </c>
      <c r="O82" s="2">
        <v>-2009</v>
      </c>
    </row>
    <row r="83" spans="2:28" x14ac:dyDescent="0.2">
      <c r="B83" t="s">
        <v>27</v>
      </c>
      <c r="G83" s="2">
        <v>4275</v>
      </c>
      <c r="H83" s="2">
        <f>9596-G83</f>
        <v>5321</v>
      </c>
      <c r="I83" s="2">
        <f>7609-SUM(G83:H83)</f>
        <v>-1987</v>
      </c>
      <c r="J83" s="2">
        <f>-1688-SUM(G83:I83)</f>
        <v>-9297</v>
      </c>
      <c r="K83" s="2">
        <v>6555</v>
      </c>
      <c r="L83" s="2">
        <f>7727-K83</f>
        <v>1172</v>
      </c>
      <c r="M83" s="2">
        <f>6697-SUM(K83:L83)</f>
        <v>-1030</v>
      </c>
      <c r="N83" s="2">
        <f>-3788-SUM(K83:M83)</f>
        <v>-10485</v>
      </c>
      <c r="O83" s="2">
        <v>3597</v>
      </c>
    </row>
    <row r="84" spans="2:28" x14ac:dyDescent="0.2">
      <c r="B84" t="s">
        <v>87</v>
      </c>
      <c r="G84" s="2">
        <v>2320</v>
      </c>
      <c r="H84" s="2">
        <f>14785-G84</f>
        <v>12465</v>
      </c>
      <c r="I84" s="2">
        <f>13111-SUM(G84:H84)</f>
        <v>-1674</v>
      </c>
      <c r="J84" s="2">
        <f>1271-SUM(G84:I84)</f>
        <v>-11840</v>
      </c>
      <c r="K84" s="2">
        <v>4569</v>
      </c>
      <c r="L84" s="2">
        <f>12164-K84</f>
        <v>7595</v>
      </c>
      <c r="M84" s="2">
        <f>11100-SUM(K84:L84)</f>
        <v>-1064</v>
      </c>
      <c r="N84" s="2">
        <f>-1356-SUM(K84:M84)</f>
        <v>-12456</v>
      </c>
      <c r="O84" s="2">
        <v>3166</v>
      </c>
    </row>
    <row r="85" spans="2:28" x14ac:dyDescent="0.2">
      <c r="B85" t="s">
        <v>29</v>
      </c>
      <c r="G85" s="2">
        <v>-1807</v>
      </c>
      <c r="H85" s="2">
        <f>-2548-G85</f>
        <v>-741</v>
      </c>
      <c r="I85" s="2">
        <f>-2570-SUM(G85:H85)</f>
        <v>-22</v>
      </c>
      <c r="J85" s="2">
        <f>-1618-SUM(G85:I85)</f>
        <v>952</v>
      </c>
      <c r="K85" s="2">
        <v>-137</v>
      </c>
      <c r="L85" s="2">
        <f>53-K85</f>
        <v>190</v>
      </c>
      <c r="M85" s="2">
        <f>41-SUM(K85:L85)</f>
        <v>-12</v>
      </c>
      <c r="N85" s="2">
        <f>-1046-SUM(K85:M85)</f>
        <v>-1087</v>
      </c>
      <c r="O85" s="2">
        <v>215</v>
      </c>
    </row>
    <row r="86" spans="2:28" x14ac:dyDescent="0.2">
      <c r="B86" t="s">
        <v>88</v>
      </c>
      <c r="G86" s="2">
        <v>-4099</v>
      </c>
      <c r="H86" s="2">
        <f>-4092-G86</f>
        <v>7</v>
      </c>
      <c r="I86" s="2">
        <f>-4863-SUM(G86:H86)</f>
        <v>-771</v>
      </c>
      <c r="J86" s="2">
        <f>-5684-SUM(G86:I86)</f>
        <v>-821</v>
      </c>
      <c r="K86" s="2">
        <v>-1457</v>
      </c>
      <c r="L86" s="2">
        <f>-4438-K86</f>
        <v>-2981</v>
      </c>
      <c r="M86" s="2">
        <f>-5626-SUM(K86:L86)</f>
        <v>-1188</v>
      </c>
      <c r="N86" s="2">
        <f>-11731-SUM(K86:M86)</f>
        <v>-6105</v>
      </c>
      <c r="O86" s="2">
        <v>939</v>
      </c>
    </row>
    <row r="87" spans="2:28" x14ac:dyDescent="0.2">
      <c r="B87" t="s">
        <v>33</v>
      </c>
      <c r="G87" s="2">
        <v>-6075</v>
      </c>
      <c r="H87" s="2">
        <f>-20764-G87</f>
        <v>-14689</v>
      </c>
      <c r="I87" s="2">
        <f>-16790-SUM(G87:H87)</f>
        <v>3974</v>
      </c>
      <c r="J87" s="2">
        <f>-1889-SUM(G87:I87)</f>
        <v>14901</v>
      </c>
      <c r="K87" s="2">
        <v>-4542</v>
      </c>
      <c r="L87" s="2">
        <f>-16710-K87</f>
        <v>-12168</v>
      </c>
      <c r="M87" s="2">
        <f>-15171-SUM(K87:L87)</f>
        <v>1539</v>
      </c>
      <c r="N87" s="2">
        <f>6020-SUM(K87:M87)</f>
        <v>21191</v>
      </c>
      <c r="O87" s="2">
        <v>-6671</v>
      </c>
    </row>
    <row r="88" spans="2:28" x14ac:dyDescent="0.2">
      <c r="B88" t="s">
        <v>89</v>
      </c>
      <c r="G88" s="2">
        <v>3889</v>
      </c>
      <c r="H88" s="2">
        <f>1757-G88</f>
        <v>-2132</v>
      </c>
      <c r="I88" s="2">
        <f>2986-SUM(G88:H88)</f>
        <v>1229</v>
      </c>
      <c r="J88" s="2">
        <f>3031-SUM(G88:I88)</f>
        <v>45</v>
      </c>
      <c r="K88" s="2">
        <v>-3865</v>
      </c>
      <c r="L88" s="2">
        <f>-3437-K88</f>
        <v>428</v>
      </c>
      <c r="M88" s="2">
        <f>2-SUM(K88:L88)</f>
        <v>3439</v>
      </c>
      <c r="N88" s="2">
        <f>15552-SUM(K88:M88)</f>
        <v>15550</v>
      </c>
      <c r="O88" s="2">
        <v>-11998</v>
      </c>
    </row>
    <row r="89" spans="2:28" x14ac:dyDescent="0.2">
      <c r="B89" t="s">
        <v>44</v>
      </c>
      <c r="G89" s="2">
        <f t="shared" ref="G89:O89" si="128">+SUM(G83:G88)</f>
        <v>-1497</v>
      </c>
      <c r="H89" s="2">
        <f t="shared" si="128"/>
        <v>231</v>
      </c>
      <c r="I89" s="2">
        <f t="shared" si="128"/>
        <v>749</v>
      </c>
      <c r="J89" s="2">
        <f t="shared" si="128"/>
        <v>-6060</v>
      </c>
      <c r="K89" s="2">
        <f t="shared" si="128"/>
        <v>1123</v>
      </c>
      <c r="L89" s="2">
        <f t="shared" si="128"/>
        <v>-5764</v>
      </c>
      <c r="M89" s="2">
        <f t="shared" si="128"/>
        <v>1684</v>
      </c>
      <c r="N89" s="2">
        <f t="shared" si="128"/>
        <v>6608</v>
      </c>
      <c r="O89" s="2">
        <f t="shared" si="128"/>
        <v>-10752</v>
      </c>
    </row>
    <row r="90" spans="2:28" s="5" customFormat="1" x14ac:dyDescent="0.2">
      <c r="B90" s="5" t="s">
        <v>45</v>
      </c>
      <c r="G90" s="5">
        <f t="shared" ref="G90:N90" si="129">+SUM(G79:G88)</f>
        <v>34005</v>
      </c>
      <c r="H90" s="5">
        <f t="shared" si="129"/>
        <v>28560</v>
      </c>
      <c r="I90" s="5">
        <f t="shared" si="129"/>
        <v>26380</v>
      </c>
      <c r="J90" s="5">
        <f t="shared" si="129"/>
        <v>21598</v>
      </c>
      <c r="K90" s="5">
        <f t="shared" si="129"/>
        <v>39895</v>
      </c>
      <c r="L90" s="5">
        <f t="shared" si="129"/>
        <v>22690</v>
      </c>
      <c r="M90" s="5">
        <f t="shared" si="129"/>
        <v>28858</v>
      </c>
      <c r="N90" s="5">
        <f t="shared" si="129"/>
        <v>26811</v>
      </c>
      <c r="O90" s="5">
        <f t="shared" ref="O90" si="130">+SUM(O79:O88)</f>
        <v>29935</v>
      </c>
      <c r="R90" s="5">
        <v>59713</v>
      </c>
      <c r="S90" s="5">
        <v>81266</v>
      </c>
      <c r="T90" s="5">
        <v>65824</v>
      </c>
      <c r="U90" s="5">
        <v>63598</v>
      </c>
      <c r="V90" s="5">
        <v>77434</v>
      </c>
      <c r="W90" s="5">
        <v>69391</v>
      </c>
      <c r="X90" s="5">
        <v>114938</v>
      </c>
      <c r="Y90" s="5">
        <v>104038</v>
      </c>
      <c r="Z90" s="5">
        <v>122151</v>
      </c>
      <c r="AA90" s="5">
        <v>110543</v>
      </c>
      <c r="AB90" s="5">
        <v>118254</v>
      </c>
    </row>
    <row r="91" spans="2:28" x14ac:dyDescent="0.2">
      <c r="L91" s="2"/>
      <c r="N91" s="2"/>
      <c r="O91" s="2"/>
    </row>
    <row r="92" spans="2:28" x14ac:dyDescent="0.2">
      <c r="B92" t="s">
        <v>30</v>
      </c>
      <c r="G92" s="2">
        <f>+-5153+7127+509</f>
        <v>2483</v>
      </c>
      <c r="H92" s="2">
        <f>+-11197+17124+1897-G92</f>
        <v>5341</v>
      </c>
      <c r="I92" s="2">
        <f>+-20956+27857+3959-SUM(G92:H92)</f>
        <v>3036</v>
      </c>
      <c r="J92" s="2">
        <f>+-29512+39686+5828-SUM(G92:I92)</f>
        <v>5142</v>
      </c>
      <c r="K92" s="2">
        <f>+-9780+13046+1337</f>
        <v>4603</v>
      </c>
      <c r="L92" s="2">
        <f>-25042+27462+4314-K92</f>
        <v>2131</v>
      </c>
      <c r="M92" s="2">
        <f>-38074+39838+7382-SUM(K92:L92)</f>
        <v>2412</v>
      </c>
      <c r="N92" s="2">
        <f>-48656+51211+11135-SUM(K92:M92)</f>
        <v>4544</v>
      </c>
      <c r="O92" s="2">
        <f>-6124+15967+3492</f>
        <v>13335</v>
      </c>
    </row>
    <row r="93" spans="2:28" s="2" customFormat="1" x14ac:dyDescent="0.2">
      <c r="B93" s="2" t="s">
        <v>46</v>
      </c>
      <c r="G93" s="2">
        <v>-3787</v>
      </c>
      <c r="H93" s="2">
        <f>+-6703-G93</f>
        <v>-2916</v>
      </c>
      <c r="I93" s="2">
        <f>+-8796-SUM(G93:H93)</f>
        <v>-2093</v>
      </c>
      <c r="J93" s="2">
        <f>+-10959-SUM(G93:I93)</f>
        <v>-2163</v>
      </c>
      <c r="K93" s="2">
        <v>-2392</v>
      </c>
      <c r="L93" s="2">
        <f>-4388-K93</f>
        <v>-1996</v>
      </c>
      <c r="M93" s="2">
        <f>-6539-SUM(K93:L93)</f>
        <v>-2151</v>
      </c>
      <c r="N93" s="2">
        <f>-9447-SUM(K93:M93)</f>
        <v>-2908</v>
      </c>
      <c r="O93" s="2">
        <v>-2940</v>
      </c>
      <c r="R93" s="2">
        <v>-9571</v>
      </c>
      <c r="S93" s="2">
        <v>-11247</v>
      </c>
      <c r="T93" s="2">
        <v>-12734</v>
      </c>
      <c r="U93" s="2">
        <v>-12451</v>
      </c>
      <c r="V93" s="2">
        <v>-13313</v>
      </c>
      <c r="W93" s="2">
        <v>-10495</v>
      </c>
      <c r="X93" s="2">
        <v>-7309</v>
      </c>
      <c r="Y93" s="2">
        <v>-11085</v>
      </c>
      <c r="Z93" s="2">
        <v>-10708</v>
      </c>
      <c r="AA93" s="2">
        <v>-10959</v>
      </c>
      <c r="AB93" s="2">
        <v>-9447</v>
      </c>
    </row>
    <row r="94" spans="2:28" x14ac:dyDescent="0.2">
      <c r="B94" t="s">
        <v>43</v>
      </c>
      <c r="G94" s="2">
        <v>-141</v>
      </c>
      <c r="H94" s="2">
        <f>+-247-G94</f>
        <v>-106</v>
      </c>
      <c r="I94" s="2">
        <f>+-753-SUM(G94:H94)</f>
        <v>-506</v>
      </c>
      <c r="J94" s="2">
        <f>+-1337-SUM(G94:I94)</f>
        <v>-584</v>
      </c>
      <c r="K94" s="2">
        <v>-284</v>
      </c>
      <c r="L94" s="2">
        <f>-729-K94</f>
        <v>-445</v>
      </c>
      <c r="M94" s="2">
        <f>-1117-SUM(K94:L94)</f>
        <v>-388</v>
      </c>
      <c r="N94" s="2">
        <f>-1308-SUM(K94:M94)</f>
        <v>-191</v>
      </c>
      <c r="O94" s="2">
        <v>-603</v>
      </c>
    </row>
    <row r="95" spans="2:28" x14ac:dyDescent="0.2">
      <c r="B95" t="s">
        <v>47</v>
      </c>
      <c r="G95" s="2">
        <f t="shared" ref="G95:O95" si="131">SUM(G92:G94)</f>
        <v>-1445</v>
      </c>
      <c r="H95" s="2">
        <f t="shared" si="131"/>
        <v>2319</v>
      </c>
      <c r="I95" s="2">
        <f t="shared" si="131"/>
        <v>437</v>
      </c>
      <c r="J95" s="2">
        <f t="shared" si="131"/>
        <v>2395</v>
      </c>
      <c r="K95" s="2">
        <f t="shared" si="131"/>
        <v>1927</v>
      </c>
      <c r="L95" s="2">
        <f t="shared" si="131"/>
        <v>-310</v>
      </c>
      <c r="M95" s="2">
        <f t="shared" si="131"/>
        <v>-127</v>
      </c>
      <c r="N95" s="2">
        <f t="shared" si="131"/>
        <v>1445</v>
      </c>
      <c r="O95" s="2">
        <f t="shared" si="131"/>
        <v>9792</v>
      </c>
    </row>
    <row r="96" spans="2:28" x14ac:dyDescent="0.2">
      <c r="N96" s="2"/>
      <c r="O96" s="2"/>
    </row>
    <row r="97" spans="2:28" x14ac:dyDescent="0.2">
      <c r="B97" t="s">
        <v>100</v>
      </c>
      <c r="G97" s="2">
        <v>-2316</v>
      </c>
      <c r="H97" s="2">
        <f>+-2734-G97</f>
        <v>-418</v>
      </c>
      <c r="I97" s="2">
        <f>+-5119-SUM(G97:H97)</f>
        <v>-2385</v>
      </c>
      <c r="J97" s="2">
        <f>+-5431-SUM(G97:I97)</f>
        <v>-312</v>
      </c>
      <c r="K97" s="2">
        <v>-2591</v>
      </c>
      <c r="L97" s="2">
        <f>-2875-K97</f>
        <v>-284</v>
      </c>
      <c r="M97" s="2">
        <f>-5163-SUM(K97:L97)</f>
        <v>-2288</v>
      </c>
      <c r="N97" s="2">
        <f>-5441-SUM(K97:M97)</f>
        <v>-278</v>
      </c>
      <c r="O97" s="2">
        <v>-2921</v>
      </c>
    </row>
    <row r="98" spans="2:28" x14ac:dyDescent="0.2">
      <c r="B98" t="s">
        <v>48</v>
      </c>
      <c r="G98" s="2">
        <v>-3768</v>
      </c>
      <c r="H98" s="2">
        <f>+-7418-G98</f>
        <v>-3650</v>
      </c>
      <c r="I98" s="2">
        <f>+-11267-SUM(G98:H98)</f>
        <v>-3849</v>
      </c>
      <c r="J98" s="2">
        <f>+-15025-SUM(G98:I98)</f>
        <v>-3758</v>
      </c>
      <c r="K98" s="2">
        <v>-3825</v>
      </c>
      <c r="L98" s="2">
        <f>-7535-K98</f>
        <v>-3710</v>
      </c>
      <c r="M98" s="2">
        <f>-11430-SUM(K98:L98)</f>
        <v>-3895</v>
      </c>
      <c r="N98" s="2">
        <f>-15234-SUM(K98:M98)</f>
        <v>-3804</v>
      </c>
      <c r="O98" s="2">
        <v>-3856</v>
      </c>
    </row>
    <row r="99" spans="2:28" x14ac:dyDescent="0.2">
      <c r="B99" t="s">
        <v>49</v>
      </c>
      <c r="G99" s="2">
        <v>-19475</v>
      </c>
      <c r="H99" s="2">
        <f>+-39069-G99</f>
        <v>-19594</v>
      </c>
      <c r="I99" s="2">
        <f>+-56547-SUM(G99:H99)</f>
        <v>-17478</v>
      </c>
      <c r="J99" s="2">
        <f>+-77550-SUM(G99:I99)</f>
        <v>-21003</v>
      </c>
      <c r="K99" s="2">
        <v>-20139</v>
      </c>
      <c r="L99" s="2">
        <f>-43344-K99</f>
        <v>-23205</v>
      </c>
      <c r="M99" s="2">
        <f>-69866-SUM(K99:L99)</f>
        <v>-26522</v>
      </c>
      <c r="N99" s="2">
        <f>-94949-SUM(K99:M99)</f>
        <v>-25083</v>
      </c>
      <c r="O99" s="2">
        <v>-23606</v>
      </c>
    </row>
    <row r="100" spans="2:28" x14ac:dyDescent="0.2">
      <c r="B100" t="s">
        <v>6</v>
      </c>
      <c r="G100" s="2">
        <f>+-1401+-8214</f>
        <v>-9615</v>
      </c>
      <c r="H100" s="2">
        <f>+-3651+-7960-G100</f>
        <v>-1996</v>
      </c>
      <c r="I100" s="2">
        <f>5228-11151-5971-SUM(G100:H100)</f>
        <v>-283</v>
      </c>
      <c r="J100" s="2">
        <f>5228-11151-3978-SUM(G100:I100)</f>
        <v>1993</v>
      </c>
      <c r="K100" s="2">
        <v>-3984</v>
      </c>
      <c r="L100" s="2">
        <f>-3150-3982-K100</f>
        <v>-3148</v>
      </c>
      <c r="M100" s="2">
        <f>-7400-SUM(K100:L100)</f>
        <v>-268</v>
      </c>
      <c r="N100" s="2">
        <f>-9958+3960-SUM(K100:M100)</f>
        <v>1402</v>
      </c>
      <c r="O100" s="2">
        <f>-1009-7944</f>
        <v>-8953</v>
      </c>
    </row>
    <row r="101" spans="2:28" x14ac:dyDescent="0.2">
      <c r="B101" t="s">
        <v>43</v>
      </c>
      <c r="G101" s="2">
        <v>-389</v>
      </c>
      <c r="H101" s="2">
        <f>+-455-G101</f>
        <v>-66</v>
      </c>
      <c r="I101" s="2">
        <f>+-508-SUM(G101:H101)</f>
        <v>-53</v>
      </c>
      <c r="J101" s="2">
        <f>+-581-SUM(G101:I101)</f>
        <v>-73</v>
      </c>
      <c r="K101" s="2">
        <v>-46</v>
      </c>
      <c r="L101" s="2">
        <f>-132-K101</f>
        <v>-86</v>
      </c>
      <c r="M101" s="2">
        <f>-191-SUM(K101:L101)</f>
        <v>-59</v>
      </c>
      <c r="N101" s="2">
        <f>-361-SUM(K101:M101)</f>
        <v>-170</v>
      </c>
      <c r="O101" s="2">
        <v>-35</v>
      </c>
    </row>
    <row r="102" spans="2:28" x14ac:dyDescent="0.2">
      <c r="B102" t="s">
        <v>50</v>
      </c>
      <c r="G102" s="2">
        <f t="shared" ref="G102:O102" si="132">SUM(G97:G101)</f>
        <v>-35563</v>
      </c>
      <c r="H102" s="2">
        <f t="shared" si="132"/>
        <v>-25724</v>
      </c>
      <c r="I102" s="2">
        <f t="shared" si="132"/>
        <v>-24048</v>
      </c>
      <c r="J102" s="2">
        <f t="shared" si="132"/>
        <v>-23153</v>
      </c>
      <c r="K102" s="2">
        <f t="shared" si="132"/>
        <v>-30585</v>
      </c>
      <c r="L102" s="2">
        <f t="shared" si="132"/>
        <v>-30433</v>
      </c>
      <c r="M102" s="2">
        <f t="shared" si="132"/>
        <v>-33032</v>
      </c>
      <c r="N102" s="2">
        <f t="shared" si="132"/>
        <v>-27933</v>
      </c>
      <c r="O102" s="2">
        <f t="shared" si="132"/>
        <v>-39371</v>
      </c>
    </row>
    <row r="103" spans="2:28" x14ac:dyDescent="0.2">
      <c r="N103" s="2"/>
      <c r="O103" s="2"/>
    </row>
    <row r="104" spans="2:28" x14ac:dyDescent="0.2">
      <c r="B104" t="s">
        <v>51</v>
      </c>
      <c r="G104" s="2">
        <f t="shared" ref="G104:O104" si="133">+G90+G95+G102</f>
        <v>-3003</v>
      </c>
      <c r="H104" s="2">
        <f t="shared" si="133"/>
        <v>5155</v>
      </c>
      <c r="I104" s="2">
        <f t="shared" si="133"/>
        <v>2769</v>
      </c>
      <c r="J104" s="2">
        <f t="shared" si="133"/>
        <v>840</v>
      </c>
      <c r="K104" s="2">
        <f t="shared" si="133"/>
        <v>11237</v>
      </c>
      <c r="L104" s="2">
        <f t="shared" si="133"/>
        <v>-8053</v>
      </c>
      <c r="M104" s="2">
        <f t="shared" si="133"/>
        <v>-4301</v>
      </c>
      <c r="N104" s="2">
        <f t="shared" si="133"/>
        <v>323</v>
      </c>
      <c r="O104" s="2">
        <f t="shared" si="133"/>
        <v>356</v>
      </c>
    </row>
    <row r="105" spans="2:28" x14ac:dyDescent="0.2">
      <c r="O105" s="2"/>
    </row>
    <row r="106" spans="2:28" s="2" customFormat="1" x14ac:dyDescent="0.2">
      <c r="B106" s="2" t="s">
        <v>90</v>
      </c>
      <c r="G106" s="2">
        <f t="shared" ref="G106:K106" si="134">+G90+G93</f>
        <v>30218</v>
      </c>
      <c r="H106" s="2">
        <f t="shared" si="134"/>
        <v>25644</v>
      </c>
      <c r="I106" s="2">
        <f t="shared" si="134"/>
        <v>24287</v>
      </c>
      <c r="J106" s="2">
        <f t="shared" si="134"/>
        <v>19435</v>
      </c>
      <c r="K106" s="2">
        <f t="shared" si="134"/>
        <v>37503</v>
      </c>
      <c r="L106" s="2">
        <f>+L90+L93</f>
        <v>20694</v>
      </c>
      <c r="M106" s="2">
        <f>+M90+M93</f>
        <v>26707</v>
      </c>
      <c r="N106" s="2">
        <f>+N90+N93</f>
        <v>23903</v>
      </c>
      <c r="O106" s="2">
        <f>+O90+O93</f>
        <v>26995</v>
      </c>
      <c r="R106" s="2">
        <f t="shared" ref="R106:Y106" si="135">+R90+R93</f>
        <v>50142</v>
      </c>
      <c r="S106" s="2">
        <f t="shared" si="135"/>
        <v>70019</v>
      </c>
      <c r="T106" s="2">
        <f t="shared" si="135"/>
        <v>53090</v>
      </c>
      <c r="U106" s="2">
        <f t="shared" si="135"/>
        <v>51147</v>
      </c>
      <c r="V106" s="2">
        <f t="shared" si="135"/>
        <v>64121</v>
      </c>
      <c r="W106" s="2">
        <f t="shared" si="135"/>
        <v>58896</v>
      </c>
      <c r="X106" s="2">
        <f t="shared" si="135"/>
        <v>107629</v>
      </c>
      <c r="Y106" s="2">
        <f t="shared" si="135"/>
        <v>92953</v>
      </c>
      <c r="Z106" s="2">
        <f>+Z90+Z93</f>
        <v>111443</v>
      </c>
      <c r="AA106" s="2">
        <f>+AA90+AA93</f>
        <v>99584</v>
      </c>
      <c r="AB106" s="2">
        <f>+AB90+AB93</f>
        <v>108807</v>
      </c>
    </row>
    <row r="107" spans="2:28" x14ac:dyDescent="0.2">
      <c r="B107" t="s">
        <v>91</v>
      </c>
      <c r="J107" s="2">
        <f t="shared" ref="J107:K107" si="136">+SUM(G106:J106)</f>
        <v>99584</v>
      </c>
      <c r="K107" s="2">
        <f t="shared" si="136"/>
        <v>106869</v>
      </c>
      <c r="L107" s="2">
        <f>+SUM(I106:L106)</f>
        <v>101919</v>
      </c>
      <c r="M107" s="2">
        <f>+SUM(J106:M106)</f>
        <v>104339</v>
      </c>
      <c r="N107" s="2">
        <f>+SUM(K106:N106)</f>
        <v>108807</v>
      </c>
      <c r="O107" s="2">
        <f>+SUM(L106:O106)</f>
        <v>98299</v>
      </c>
    </row>
    <row r="108" spans="2:28" s="7" customFormat="1" x14ac:dyDescent="0.2">
      <c r="AB108" s="7">
        <f>+RATE(3,0,-Y106,AB106)</f>
        <v>5.3896126801927513E-2</v>
      </c>
    </row>
    <row r="109" spans="2:28" x14ac:dyDescent="0.2">
      <c r="O109" s="7"/>
      <c r="AB109" s="7">
        <f>+(RATE(10,0,-R106,AB106))</f>
        <v>8.0551618953748544E-2</v>
      </c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Hesselberth</dc:creator>
  <cp:lastModifiedBy>Fidel</cp:lastModifiedBy>
  <dcterms:created xsi:type="dcterms:W3CDTF">2024-03-26T12:55:51Z</dcterms:created>
  <dcterms:modified xsi:type="dcterms:W3CDTF">2025-04-03T20:19:24Z</dcterms:modified>
</cp:coreProperties>
</file>