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Travel Service\"/>
    </mc:Choice>
  </mc:AlternateContent>
  <xr:revisionPtr revIDLastSave="0" documentId="13_ncr:1_{EF4B1F87-B232-445E-ADEA-0EBF056988D9}" xr6:coauthVersionLast="47" xr6:coauthVersionMax="47" xr10:uidLastSave="{00000000-0000-0000-0000-000000000000}"/>
  <bookViews>
    <workbookView xWindow="-14715" yWindow="6270" windowWidth="14070" windowHeight="15300" xr2:uid="{1208F9F2-4067-442A-BA66-368212D0ACB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7" i="2" l="1"/>
  <c r="P89" i="2"/>
  <c r="O6" i="2"/>
  <c r="P6" i="2"/>
  <c r="P88" i="2"/>
  <c r="P86" i="2"/>
  <c r="P85" i="2"/>
  <c r="P82" i="2"/>
  <c r="P81" i="2"/>
  <c r="P80" i="2"/>
  <c r="P78" i="2"/>
  <c r="P75" i="2"/>
  <c r="P76" i="2" s="1"/>
  <c r="Q11" i="2"/>
  <c r="Z11" i="2"/>
  <c r="P73" i="2"/>
  <c r="P72" i="2"/>
  <c r="P71" i="2"/>
  <c r="P70" i="2"/>
  <c r="P67" i="2"/>
  <c r="P66" i="2"/>
  <c r="P64" i="2"/>
  <c r="P63" i="2"/>
  <c r="P62" i="2"/>
  <c r="P61" i="2"/>
  <c r="P60" i="2"/>
  <c r="P54" i="2"/>
  <c r="P37" i="2"/>
  <c r="P36" i="2" s="1"/>
  <c r="P58" i="2"/>
  <c r="P53" i="2"/>
  <c r="P40" i="2"/>
  <c r="P46" i="2" s="1"/>
  <c r="L11" i="1"/>
  <c r="P34" i="2"/>
  <c r="P32" i="2"/>
  <c r="P31" i="2"/>
  <c r="P30" i="2"/>
  <c r="P29" i="2"/>
  <c r="P26" i="2"/>
  <c r="P25" i="2"/>
  <c r="P23" i="2"/>
  <c r="P19" i="2"/>
  <c r="P18" i="2"/>
  <c r="P13" i="2"/>
  <c r="K72" i="2"/>
  <c r="AR36" i="2"/>
  <c r="P83" i="2" l="1"/>
  <c r="P55" i="2"/>
  <c r="Z17" i="2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Z16" i="2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Z15" i="2" l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Z14" i="2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A11" i="2" l="1"/>
  <c r="Z12" i="2"/>
  <c r="Z34" i="2"/>
  <c r="AK14" i="2"/>
  <c r="AJ18" i="2"/>
  <c r="Z18" i="2"/>
  <c r="Z13" i="2"/>
  <c r="Z29" i="2" s="1"/>
  <c r="AK18" i="2" l="1"/>
  <c r="AL14" i="2"/>
  <c r="AB11" i="2"/>
  <c r="AA12" i="2"/>
  <c r="AA13" i="2" s="1"/>
  <c r="AA29" i="2" s="1"/>
  <c r="AA34" i="2"/>
  <c r="Z19" i="2"/>
  <c r="Z30" i="2" s="1"/>
  <c r="AI18" i="2"/>
  <c r="AF18" i="2"/>
  <c r="AB18" i="2"/>
  <c r="AD18" i="2"/>
  <c r="AG18" i="2"/>
  <c r="AH18" i="2"/>
  <c r="AC18" i="2"/>
  <c r="AE18" i="2"/>
  <c r="AA18" i="2"/>
  <c r="AC11" i="2" l="1"/>
  <c r="AB12" i="2"/>
  <c r="AB13" i="2" s="1"/>
  <c r="AB29" i="2" s="1"/>
  <c r="AB34" i="2"/>
  <c r="AM14" i="2"/>
  <c r="AL18" i="2"/>
  <c r="AB19" i="2"/>
  <c r="AB30" i="2" s="1"/>
  <c r="AA19" i="2"/>
  <c r="AA30" i="2" s="1"/>
  <c r="AN14" i="2" l="1"/>
  <c r="AM18" i="2"/>
  <c r="AD11" i="2"/>
  <c r="AC12" i="2"/>
  <c r="AC34" i="2"/>
  <c r="AC13" i="2"/>
  <c r="N34" i="2"/>
  <c r="M34" i="2"/>
  <c r="L34" i="2"/>
  <c r="K34" i="2"/>
  <c r="J34" i="2"/>
  <c r="I34" i="2"/>
  <c r="H34" i="2"/>
  <c r="G34" i="2"/>
  <c r="O34" i="2"/>
  <c r="T18" i="2"/>
  <c r="T13" i="2"/>
  <c r="T29" i="2" s="1"/>
  <c r="U34" i="2"/>
  <c r="U18" i="2"/>
  <c r="U13" i="2"/>
  <c r="U29" i="2" s="1"/>
  <c r="V34" i="2"/>
  <c r="V18" i="2"/>
  <c r="V13" i="2"/>
  <c r="V29" i="2" s="1"/>
  <c r="W34" i="2"/>
  <c r="X34" i="2"/>
  <c r="Y34" i="2"/>
  <c r="W18" i="2"/>
  <c r="W13" i="2"/>
  <c r="W29" i="2" s="1"/>
  <c r="X18" i="2"/>
  <c r="X13" i="2"/>
  <c r="Y18" i="2"/>
  <c r="Y13" i="2"/>
  <c r="F18" i="2"/>
  <c r="F13" i="2"/>
  <c r="F29" i="2" s="1"/>
  <c r="E18" i="2"/>
  <c r="E13" i="2"/>
  <c r="D18" i="2"/>
  <c r="D13" i="2"/>
  <c r="D29" i="2" s="1"/>
  <c r="C18" i="2"/>
  <c r="C13" i="2"/>
  <c r="C29" i="2" s="1"/>
  <c r="G18" i="2"/>
  <c r="G13" i="2"/>
  <c r="G29" i="2" s="1"/>
  <c r="AE11" i="2" l="1"/>
  <c r="AD12" i="2"/>
  <c r="AD13" i="2" s="1"/>
  <c r="AD34" i="2"/>
  <c r="AO14" i="2"/>
  <c r="AO18" i="2" s="1"/>
  <c r="AN18" i="2"/>
  <c r="AC29" i="2"/>
  <c r="AC19" i="2"/>
  <c r="AC30" i="2" s="1"/>
  <c r="T19" i="2"/>
  <c r="T30" i="2" s="1"/>
  <c r="U19" i="2"/>
  <c r="U23" i="2" s="1"/>
  <c r="V19" i="2"/>
  <c r="W19" i="2"/>
  <c r="X19" i="2"/>
  <c r="X30" i="2" s="1"/>
  <c r="X29" i="2"/>
  <c r="Y19" i="2"/>
  <c r="Y30" i="2" s="1"/>
  <c r="Y29" i="2"/>
  <c r="F19" i="2"/>
  <c r="E29" i="2"/>
  <c r="E19" i="2"/>
  <c r="D19" i="2"/>
  <c r="C19" i="2"/>
  <c r="G19" i="2"/>
  <c r="R11" i="2"/>
  <c r="R34" i="2" s="1"/>
  <c r="Q34" i="2"/>
  <c r="M64" i="2"/>
  <c r="N64" i="2" s="1"/>
  <c r="M79" i="2"/>
  <c r="N79" i="2" s="1"/>
  <c r="I18" i="2"/>
  <c r="I13" i="2"/>
  <c r="M48" i="2"/>
  <c r="M53" i="2" s="1"/>
  <c r="M37" i="2"/>
  <c r="M40" i="2" s="1"/>
  <c r="M46" i="2" s="1"/>
  <c r="M18" i="2"/>
  <c r="M13" i="2"/>
  <c r="K48" i="2"/>
  <c r="K53" i="2" s="1"/>
  <c r="K37" i="2"/>
  <c r="K36" i="2" s="1"/>
  <c r="L85" i="2"/>
  <c r="M85" i="2" s="1"/>
  <c r="L82" i="2"/>
  <c r="M82" i="2" s="1"/>
  <c r="N82" i="2" s="1"/>
  <c r="L81" i="2"/>
  <c r="M81" i="2" s="1"/>
  <c r="N81" i="2" s="1"/>
  <c r="L80" i="2"/>
  <c r="M80" i="2" s="1"/>
  <c r="L78" i="2"/>
  <c r="M78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L63" i="2"/>
  <c r="M63" i="2" s="1"/>
  <c r="L62" i="2"/>
  <c r="M62" i="2" s="1"/>
  <c r="L61" i="2"/>
  <c r="M61" i="2" s="1"/>
  <c r="L48" i="2"/>
  <c r="L53" i="2" s="1"/>
  <c r="L37" i="2"/>
  <c r="L36" i="2" s="1"/>
  <c r="N21" i="2"/>
  <c r="L21" i="2"/>
  <c r="J20" i="2"/>
  <c r="H13" i="2"/>
  <c r="H18" i="2"/>
  <c r="L18" i="2"/>
  <c r="L13" i="2"/>
  <c r="K75" i="2"/>
  <c r="K73" i="2"/>
  <c r="K88" i="2" s="1"/>
  <c r="K83" i="2"/>
  <c r="J37" i="2"/>
  <c r="J40" i="2" s="1"/>
  <c r="J46" i="2" s="1"/>
  <c r="J53" i="2"/>
  <c r="N37" i="2"/>
  <c r="N40" i="2" s="1"/>
  <c r="N46" i="2" s="1"/>
  <c r="N53" i="2"/>
  <c r="J18" i="2"/>
  <c r="J13" i="2"/>
  <c r="N18" i="2"/>
  <c r="N13" i="2"/>
  <c r="O83" i="2"/>
  <c r="O75" i="2"/>
  <c r="O76" i="2" s="1"/>
  <c r="O72" i="2"/>
  <c r="O73" i="2" s="1"/>
  <c r="O53" i="2"/>
  <c r="O37" i="2"/>
  <c r="O40" i="2" s="1"/>
  <c r="O46" i="2" s="1"/>
  <c r="K18" i="2"/>
  <c r="K13" i="2"/>
  <c r="K29" i="2" s="1"/>
  <c r="O18" i="2"/>
  <c r="O13" i="2"/>
  <c r="U4" i="2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L8" i="1"/>
  <c r="L6" i="1"/>
  <c r="L7" i="1" s="1"/>
  <c r="L10" i="1" s="1"/>
  <c r="L12" i="1" s="1"/>
  <c r="O86" i="2" l="1"/>
  <c r="O88" i="2"/>
  <c r="L75" i="2"/>
  <c r="K76" i="2"/>
  <c r="K86" i="2"/>
  <c r="AD29" i="2"/>
  <c r="AD19" i="2"/>
  <c r="AD30" i="2" s="1"/>
  <c r="AF11" i="2"/>
  <c r="AE34" i="2"/>
  <c r="AE12" i="2"/>
  <c r="AE13" i="2" s="1"/>
  <c r="T23" i="2"/>
  <c r="T32" i="2" s="1"/>
  <c r="U30" i="2"/>
  <c r="V30" i="2"/>
  <c r="V23" i="2"/>
  <c r="W30" i="2"/>
  <c r="W23" i="2"/>
  <c r="X23" i="2"/>
  <c r="X32" i="2" s="1"/>
  <c r="Y23" i="2"/>
  <c r="Y32" i="2" s="1"/>
  <c r="L29" i="2"/>
  <c r="N29" i="2"/>
  <c r="F23" i="2"/>
  <c r="F30" i="2"/>
  <c r="E30" i="2"/>
  <c r="E23" i="2"/>
  <c r="D30" i="2"/>
  <c r="D23" i="2"/>
  <c r="C30" i="2"/>
  <c r="C23" i="2"/>
  <c r="G30" i="2"/>
  <c r="G23" i="2"/>
  <c r="N68" i="2"/>
  <c r="N69" i="2"/>
  <c r="N71" i="2"/>
  <c r="N78" i="2"/>
  <c r="M72" i="2"/>
  <c r="N80" i="2"/>
  <c r="N85" i="2"/>
  <c r="N66" i="2"/>
  <c r="N67" i="2"/>
  <c r="M83" i="2"/>
  <c r="N70" i="2"/>
  <c r="M65" i="2"/>
  <c r="N65" i="2" s="1"/>
  <c r="N63" i="2"/>
  <c r="N61" i="2"/>
  <c r="N62" i="2"/>
  <c r="I19" i="2"/>
  <c r="I23" i="2" s="1"/>
  <c r="I29" i="2"/>
  <c r="M54" i="2"/>
  <c r="M55" i="2" s="1"/>
  <c r="M36" i="2"/>
  <c r="M19" i="2"/>
  <c r="M23" i="2" s="1"/>
  <c r="M29" i="2"/>
  <c r="L83" i="2"/>
  <c r="L72" i="2"/>
  <c r="L73" i="2" s="1"/>
  <c r="L88" i="2" s="1"/>
  <c r="O54" i="2"/>
  <c r="O55" i="2" s="1"/>
  <c r="O19" i="2"/>
  <c r="O23" i="2" s="1"/>
  <c r="L40" i="2"/>
  <c r="H19" i="2"/>
  <c r="H23" i="2" s="1"/>
  <c r="H29" i="2"/>
  <c r="L19" i="2"/>
  <c r="L30" i="2" s="1"/>
  <c r="O36" i="2"/>
  <c r="Y36" i="2" s="1"/>
  <c r="O29" i="2"/>
  <c r="J54" i="2"/>
  <c r="J55" i="2" s="1"/>
  <c r="J36" i="2"/>
  <c r="N54" i="2"/>
  <c r="N55" i="2" s="1"/>
  <c r="N36" i="2"/>
  <c r="J19" i="2"/>
  <c r="J23" i="2" s="1"/>
  <c r="J29" i="2"/>
  <c r="N19" i="2"/>
  <c r="N23" i="2" s="1"/>
  <c r="K40" i="2"/>
  <c r="K19" i="2"/>
  <c r="K23" i="2" s="1"/>
  <c r="M75" i="2" l="1"/>
  <c r="L76" i="2"/>
  <c r="L86" i="2" s="1"/>
  <c r="AG11" i="2"/>
  <c r="AF34" i="2"/>
  <c r="AF12" i="2"/>
  <c r="AF13" i="2"/>
  <c r="AR33" i="2"/>
  <c r="Z20" i="2"/>
  <c r="Z23" i="2" s="1"/>
  <c r="Z24" i="2" s="1"/>
  <c r="Z32" i="2" s="1"/>
  <c r="AE29" i="2"/>
  <c r="AE19" i="2"/>
  <c r="AE30" i="2" s="1"/>
  <c r="N83" i="2"/>
  <c r="T25" i="2"/>
  <c r="T31" i="2" s="1"/>
  <c r="U32" i="2"/>
  <c r="U25" i="2"/>
  <c r="V32" i="2"/>
  <c r="V25" i="2"/>
  <c r="W32" i="2"/>
  <c r="W25" i="2"/>
  <c r="X25" i="2"/>
  <c r="X31" i="2" s="1"/>
  <c r="Y25" i="2"/>
  <c r="Y31" i="2" s="1"/>
  <c r="F25" i="2"/>
  <c r="F32" i="2"/>
  <c r="E32" i="2"/>
  <c r="E25" i="2"/>
  <c r="D25" i="2"/>
  <c r="D32" i="2"/>
  <c r="C32" i="2"/>
  <c r="C25" i="2"/>
  <c r="G25" i="2"/>
  <c r="G32" i="2"/>
  <c r="O30" i="2"/>
  <c r="N72" i="2"/>
  <c r="N73" i="2" s="1"/>
  <c r="N88" i="2" s="1"/>
  <c r="M73" i="2"/>
  <c r="M88" i="2" s="1"/>
  <c r="O89" i="2" s="1"/>
  <c r="L23" i="2"/>
  <c r="L25" i="2" s="1"/>
  <c r="I30" i="2"/>
  <c r="I25" i="2"/>
  <c r="I32" i="2"/>
  <c r="M30" i="2"/>
  <c r="M25" i="2"/>
  <c r="M60" i="2" s="1"/>
  <c r="M32" i="2"/>
  <c r="L46" i="2"/>
  <c r="L54" i="2" s="1"/>
  <c r="L55" i="2" s="1"/>
  <c r="K46" i="2"/>
  <c r="K54" i="2" s="1"/>
  <c r="K55" i="2" s="1"/>
  <c r="H30" i="2"/>
  <c r="O32" i="2"/>
  <c r="O25" i="2"/>
  <c r="J30" i="2"/>
  <c r="N30" i="2"/>
  <c r="K30" i="2"/>
  <c r="N89" i="2" l="1"/>
  <c r="M76" i="2"/>
  <c r="M86" i="2" s="1"/>
  <c r="N75" i="2"/>
  <c r="N76" i="2" s="1"/>
  <c r="N86" i="2" s="1"/>
  <c r="L60" i="2"/>
  <c r="AF29" i="2"/>
  <c r="AF19" i="2"/>
  <c r="AF30" i="2" s="1"/>
  <c r="AH11" i="2"/>
  <c r="AG34" i="2"/>
  <c r="AG12" i="2"/>
  <c r="AG13" i="2" s="1"/>
  <c r="T26" i="2"/>
  <c r="U31" i="2"/>
  <c r="U26" i="2"/>
  <c r="V31" i="2"/>
  <c r="V26" i="2"/>
  <c r="W31" i="2"/>
  <c r="W26" i="2"/>
  <c r="X26" i="2"/>
  <c r="Y26" i="2"/>
  <c r="F26" i="2"/>
  <c r="F31" i="2"/>
  <c r="E31" i="2"/>
  <c r="E26" i="2"/>
  <c r="D31" i="2"/>
  <c r="D26" i="2"/>
  <c r="C31" i="2"/>
  <c r="C26" i="2"/>
  <c r="G26" i="2"/>
  <c r="G31" i="2"/>
  <c r="I26" i="2"/>
  <c r="I31" i="2"/>
  <c r="M31" i="2"/>
  <c r="M26" i="2"/>
  <c r="L32" i="2"/>
  <c r="H32" i="2"/>
  <c r="H25" i="2"/>
  <c r="L31" i="2"/>
  <c r="L26" i="2"/>
  <c r="O60" i="2"/>
  <c r="O31" i="2"/>
  <c r="O26" i="2"/>
  <c r="J32" i="2"/>
  <c r="J25" i="2"/>
  <c r="N25" i="2"/>
  <c r="N60" i="2" s="1"/>
  <c r="N32" i="2"/>
  <c r="K32" i="2"/>
  <c r="K25" i="2"/>
  <c r="AG29" i="2" l="1"/>
  <c r="AG19" i="2"/>
  <c r="AG30" i="2" s="1"/>
  <c r="AI11" i="2"/>
  <c r="AH34" i="2"/>
  <c r="AH12" i="2"/>
  <c r="AH13" i="2"/>
  <c r="O57" i="2"/>
  <c r="Z25" i="2"/>
  <c r="Z26" i="2" s="1"/>
  <c r="K60" i="2"/>
  <c r="N57" i="2"/>
  <c r="O58" i="2" s="1"/>
  <c r="H31" i="2"/>
  <c r="H26" i="2"/>
  <c r="J26" i="2"/>
  <c r="J31" i="2"/>
  <c r="N26" i="2"/>
  <c r="N31" i="2"/>
  <c r="K26" i="2"/>
  <c r="K31" i="2"/>
  <c r="AH29" i="2" l="1"/>
  <c r="AH19" i="2"/>
  <c r="AH30" i="2" s="1"/>
  <c r="AJ11" i="2"/>
  <c r="AI12" i="2"/>
  <c r="AI34" i="2"/>
  <c r="AI13" i="2"/>
  <c r="Z36" i="2"/>
  <c r="AA20" i="2" s="1"/>
  <c r="AA23" i="2" s="1"/>
  <c r="AA24" i="2" s="1"/>
  <c r="AA32" i="2" s="1"/>
  <c r="Z31" i="2"/>
  <c r="L58" i="2"/>
  <c r="M58" i="2"/>
  <c r="N58" i="2"/>
  <c r="K58" i="2"/>
  <c r="AK11" i="2" l="1"/>
  <c r="AJ12" i="2"/>
  <c r="AJ13" i="2" s="1"/>
  <c r="AJ34" i="2"/>
  <c r="AI29" i="2"/>
  <c r="AI19" i="2"/>
  <c r="AI30" i="2" s="1"/>
  <c r="AA25" i="2"/>
  <c r="AJ29" i="2" l="1"/>
  <c r="AJ19" i="2"/>
  <c r="AJ30" i="2" s="1"/>
  <c r="AA36" i="2"/>
  <c r="AB20" i="2" s="1"/>
  <c r="AB23" i="2" s="1"/>
  <c r="AB24" i="2" s="1"/>
  <c r="AB32" i="2" s="1"/>
  <c r="AA26" i="2"/>
  <c r="AK12" i="2"/>
  <c r="AK13" i="2" s="1"/>
  <c r="AK34" i="2"/>
  <c r="AL11" i="2"/>
  <c r="AA31" i="2"/>
  <c r="AB25" i="2" l="1"/>
  <c r="AK29" i="2"/>
  <c r="AK19" i="2"/>
  <c r="AK30" i="2" s="1"/>
  <c r="AB36" i="2"/>
  <c r="AC20" i="2" s="1"/>
  <c r="AC23" i="2" s="1"/>
  <c r="AC24" i="2" s="1"/>
  <c r="AC32" i="2" s="1"/>
  <c r="AB26" i="2"/>
  <c r="AB31" i="2"/>
  <c r="AL12" i="2"/>
  <c r="AL13" i="2"/>
  <c r="AL34" i="2"/>
  <c r="AM11" i="2"/>
  <c r="AC25" i="2" l="1"/>
  <c r="AC36" i="2"/>
  <c r="AC26" i="2"/>
  <c r="AL29" i="2"/>
  <c r="AL19" i="2"/>
  <c r="AL30" i="2" s="1"/>
  <c r="AM12" i="2"/>
  <c r="AM13" i="2" s="1"/>
  <c r="AM34" i="2"/>
  <c r="AN11" i="2"/>
  <c r="AC31" i="2"/>
  <c r="AD20" i="2"/>
  <c r="AD23" i="2" s="1"/>
  <c r="AD24" i="2" s="1"/>
  <c r="AD32" i="2" s="1"/>
  <c r="AN12" i="2" l="1"/>
  <c r="AN13" i="2" s="1"/>
  <c r="AN34" i="2"/>
  <c r="AO11" i="2"/>
  <c r="AM29" i="2"/>
  <c r="AM19" i="2"/>
  <c r="AM30" i="2" s="1"/>
  <c r="AD25" i="2"/>
  <c r="AO12" i="2" l="1"/>
  <c r="AO13" i="2" s="1"/>
  <c r="AO19" i="2" s="1"/>
  <c r="AO30" i="2" s="1"/>
  <c r="AO34" i="2"/>
  <c r="AD36" i="2"/>
  <c r="AD26" i="2"/>
  <c r="AN29" i="2"/>
  <c r="AN19" i="2"/>
  <c r="AN30" i="2" s="1"/>
  <c r="AD31" i="2"/>
  <c r="AE20" i="2"/>
  <c r="AE23" i="2" s="1"/>
  <c r="AE24" i="2" s="1"/>
  <c r="AE32" i="2" s="1"/>
  <c r="AO29" i="2" l="1"/>
  <c r="AE25" i="2"/>
  <c r="AE26" i="2" s="1"/>
  <c r="AE36" i="2"/>
  <c r="AE31" i="2"/>
  <c r="AF20" i="2" l="1"/>
  <c r="AF23" i="2" s="1"/>
  <c r="AF24" i="2" s="1"/>
  <c r="AF32" i="2" s="1"/>
  <c r="AF25" i="2" l="1"/>
  <c r="AF36" i="2" l="1"/>
  <c r="AG20" i="2" s="1"/>
  <c r="AG23" i="2" s="1"/>
  <c r="AG24" i="2" s="1"/>
  <c r="AG32" i="2" s="1"/>
  <c r="AF26" i="2"/>
  <c r="AF31" i="2"/>
  <c r="AG25" i="2" l="1"/>
  <c r="AG26" i="2" s="1"/>
  <c r="AG31" i="2" l="1"/>
  <c r="AG36" i="2"/>
  <c r="AH20" i="2" s="1"/>
  <c r="AH23" i="2" s="1"/>
  <c r="AH24" i="2" s="1"/>
  <c r="AH32" i="2" s="1"/>
  <c r="AH25" i="2" l="1"/>
  <c r="AH26" i="2" s="1"/>
  <c r="AH36" i="2" l="1"/>
  <c r="AI20" i="2" s="1"/>
  <c r="AI23" i="2" s="1"/>
  <c r="AI24" i="2" s="1"/>
  <c r="AI32" i="2" s="1"/>
  <c r="AH31" i="2"/>
  <c r="AI25" i="2" l="1"/>
  <c r="AI36" i="2"/>
  <c r="AJ20" i="2" l="1"/>
  <c r="AJ23" i="2" s="1"/>
  <c r="AI31" i="2"/>
  <c r="AI26" i="2"/>
  <c r="AJ24" i="2" l="1"/>
  <c r="AJ32" i="2" s="1"/>
  <c r="AJ25" i="2" l="1"/>
  <c r="AJ26" i="2"/>
  <c r="AJ31" i="2"/>
  <c r="AJ36" i="2"/>
  <c r="AK20" i="2" l="1"/>
  <c r="AK23" i="2" s="1"/>
  <c r="AK24" i="2" l="1"/>
  <c r="AK32" i="2" s="1"/>
  <c r="AK25" i="2"/>
  <c r="AK26" i="2" l="1"/>
  <c r="AK31" i="2"/>
  <c r="AK36" i="2"/>
  <c r="AL20" i="2" l="1"/>
  <c r="AL23" i="2" s="1"/>
  <c r="AL24" i="2" l="1"/>
  <c r="AL32" i="2" s="1"/>
  <c r="AL25" i="2" l="1"/>
  <c r="AL26" i="2" l="1"/>
  <c r="AL31" i="2"/>
  <c r="AL36" i="2"/>
  <c r="AM20" i="2" l="1"/>
  <c r="AM23" i="2" s="1"/>
  <c r="AM24" i="2" l="1"/>
  <c r="AM32" i="2" s="1"/>
  <c r="AM25" i="2"/>
  <c r="AM26" i="2" l="1"/>
  <c r="AM31" i="2"/>
  <c r="AM36" i="2"/>
  <c r="AN20" i="2" l="1"/>
  <c r="AN23" i="2" s="1"/>
  <c r="AN24" i="2" l="1"/>
  <c r="AN32" i="2" s="1"/>
  <c r="AN25" i="2"/>
  <c r="AN26" i="2" l="1"/>
  <c r="AN31" i="2"/>
  <c r="AN36" i="2"/>
  <c r="AO20" i="2" l="1"/>
  <c r="AO23" i="2" s="1"/>
  <c r="AO24" i="2" l="1"/>
  <c r="AO32" i="2" s="1"/>
  <c r="AO25" i="2"/>
  <c r="AO26" i="2" l="1"/>
  <c r="AP25" i="2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EF25" i="2" s="1"/>
  <c r="AO31" i="2"/>
  <c r="AO36" i="2"/>
  <c r="AR32" i="2" l="1"/>
  <c r="AR34" i="2" s="1"/>
  <c r="AR35" i="2" s="1"/>
  <c r="AR37" i="2" s="1"/>
</calcChain>
</file>

<file path=xl/sharedStrings.xml><?xml version="1.0" encoding="utf-8"?>
<sst xmlns="http://schemas.openxmlformats.org/spreadsheetml/2006/main" count="119" uniqueCount="97">
  <si>
    <t>Airbnb</t>
  </si>
  <si>
    <t>(ABNB)</t>
  </si>
  <si>
    <t>(in millions)</t>
  </si>
  <si>
    <t>Price</t>
  </si>
  <si>
    <t>Shares</t>
  </si>
  <si>
    <t>MC</t>
  </si>
  <si>
    <t>Cash</t>
  </si>
  <si>
    <t>Debt</t>
  </si>
  <si>
    <t>EV</t>
  </si>
  <si>
    <t>Q124</t>
  </si>
  <si>
    <t>Revenue</t>
  </si>
  <si>
    <t>COGS</t>
  </si>
  <si>
    <t>Operations &amp; support</t>
  </si>
  <si>
    <t>R&amp;D</t>
  </si>
  <si>
    <t>S&amp;M</t>
  </si>
  <si>
    <t>G&amp;A</t>
  </si>
  <si>
    <t>Operating expense</t>
  </si>
  <si>
    <t>Operating income</t>
  </si>
  <si>
    <t>Interest income</t>
  </si>
  <si>
    <t>Interest expense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</si>
  <si>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</si>
  <si>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</si>
  <si>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</si>
  <si>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</si>
  <si>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</si>
  <si>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</si>
  <si>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</si>
  <si>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</si>
  <si>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</si>
  <si>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Gross profit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</si>
  <si>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</si>
  <si>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</si>
  <si>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</si>
  <si>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</si>
  <si>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</si>
  <si>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</si>
  <si>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</si>
  <si>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</si>
  <si>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</si>
  <si>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</si>
  <si>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</si>
  <si>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</si>
  <si>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Q224</t>
  </si>
  <si>
    <t>Q324</t>
  </si>
  <si>
    <t>Q424</t>
  </si>
  <si>
    <t>Net cash</t>
  </si>
  <si>
    <t>A/R</t>
  </si>
  <si>
    <t>Prepaids</t>
  </si>
  <si>
    <t>Current</t>
  </si>
  <si>
    <t>D/T</t>
  </si>
  <si>
    <t>Goodwill</t>
  </si>
  <si>
    <t>Other</t>
  </si>
  <si>
    <t>Assets</t>
  </si>
  <si>
    <t>A/P</t>
  </si>
  <si>
    <t>Accrued</t>
  </si>
  <si>
    <t>Unearned fees</t>
  </si>
  <si>
    <t>Liabilities</t>
  </si>
  <si>
    <t>S/E</t>
  </si>
  <si>
    <t>L+S/E</t>
  </si>
  <si>
    <t>ROIC</t>
  </si>
  <si>
    <t>Model NI</t>
  </si>
  <si>
    <t>Reported NI</t>
  </si>
  <si>
    <t>D&amp;A</t>
  </si>
  <si>
    <t>SBC</t>
  </si>
  <si>
    <t>Working capital</t>
  </si>
  <si>
    <t>CFFO</t>
  </si>
  <si>
    <t>CFFI</t>
  </si>
  <si>
    <t>SBC taxes</t>
  </si>
  <si>
    <t>SBC exercise</t>
  </si>
  <si>
    <t>Buybacks</t>
  </si>
  <si>
    <t>Change in funds</t>
  </si>
  <si>
    <t>CFFF</t>
  </si>
  <si>
    <t>FX</t>
  </si>
  <si>
    <t>CIC</t>
  </si>
  <si>
    <t>Employees</t>
  </si>
  <si>
    <t>Lease</t>
  </si>
  <si>
    <t>C:\Users\denni\Desktop\CompanyResearchModels\AllCompanies.xlsx</t>
  </si>
  <si>
    <t>Main!A1</t>
  </si>
  <si>
    <t>PP&amp;E</t>
  </si>
  <si>
    <t>Options</t>
  </si>
  <si>
    <t>Key metrics</t>
  </si>
  <si>
    <t>Gross Booking Value (GBV)</t>
  </si>
  <si>
    <t>Nights and Experience Booked</t>
  </si>
  <si>
    <t>Terminal value</t>
  </si>
  <si>
    <t>Discount rate</t>
  </si>
  <si>
    <t>NPV</t>
  </si>
  <si>
    <t>Total value</t>
  </si>
  <si>
    <t>Per share</t>
  </si>
  <si>
    <t>Current price</t>
  </si>
  <si>
    <t>Investing</t>
  </si>
  <si>
    <t>FCF</t>
  </si>
  <si>
    <t>FCF TTM</t>
  </si>
  <si>
    <t>Nights booked</t>
  </si>
  <si>
    <t>Nights booked margin</t>
  </si>
  <si>
    <t>Mobile app downloads</t>
  </si>
  <si>
    <t>First-time bookers</t>
  </si>
  <si>
    <t>TTM 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</si>
</sst>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"/>
    <numFmt numFmtId="165" formatCode="0.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3" fontId="2" fillId="0" borderId="0" xfId="0" applyNumberFormat="1" applyFont="1"/>
    <xf numFmtId="3" fontId="0" fillId="0" borderId="0" xfId="0" applyNumberFormat="1"/>
    <xf numFmtId="3" fontId="3" fillId="0" borderId="0" xfId="0" applyNumberFormat="1" applyFon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/>
    <xf numFmtId="4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3" fontId="4" fillId="0" borderId="0" xfId="1" applyNumberFormat="1"/>
    <xf numFmtId="164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0</xdr:row>
      <xdr:rowOff>47625</xdr:rowOff>
    </xdr:from>
    <xdr:to>
      <xdr:col>25</xdr:col>
      <xdr:colOff>19050</xdr:colOff>
      <xdr:row>44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467486B-70CB-5CA9-D6C3-4CB66FDD7D35}"/>
            </a:ext>
          </a:extLst>
        </xdr:cNvPr>
        <xdr:cNvCxnSpPr/>
      </xdr:nvCxnSpPr>
      <xdr:spPr>
        <a:xfrm>
          <a:off x="16383000" y="47625"/>
          <a:ext cx="0" cy="6934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</xdr:colOff>
      <xdr:row>0</xdr:row>
      <xdr:rowOff>66675</xdr:rowOff>
    </xdr:from>
    <xdr:to>
      <xdr:col>16</xdr:col>
      <xdr:colOff>47625</xdr:colOff>
      <xdr:row>92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917936A-E0BC-4DCA-96A0-9D66BD5BDEB1}"/>
            </a:ext>
          </a:extLst>
        </xdr:cNvPr>
        <xdr:cNvCxnSpPr/>
      </xdr:nvCxnSpPr>
      <xdr:spPr>
        <a:xfrm>
          <a:off x="10925175" y="66675"/>
          <a:ext cx="0" cy="15154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AllCompanies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B695-FB1E-46F3-B941-5C3792FDB70F}">
  <dimension ref="A1:N12"/>
  <sheetViews>
    <sheetView tabSelected="1" workbookViewId="0">
      <selection activeCell="L12" sqref="L12"/>
    </sheetView>
  </sheetViews>
  <sheetFormatPr defaultRowHeight="12.75" x14ac:dyDescent="0.2"/>
  <cols>
    <col min="1" max="1" width="3" style="2" customWidth="1"/>
    <col min="2" max="2" width="17.5703125" style="2" bestFit="1" customWidth="1"/>
    <col min="3" max="16384" width="9.140625" style="2"/>
  </cols>
  <sheetData>
    <row r="1" spans="1:14" x14ac:dyDescent="0.2">
      <c r="A1" s="12" t="s">
        <v>76</v>
      </c>
    </row>
    <row r="2" spans="1:14" ht="34.5" x14ac:dyDescent="0.45">
      <c r="B2" s="1" t="s">
        <v>0</v>
      </c>
    </row>
    <row r="3" spans="1:14" x14ac:dyDescent="0.2">
      <c r="B3" s="3" t="s">
        <v>1</v>
      </c>
    </row>
    <row r="4" spans="1:14" x14ac:dyDescent="0.2">
      <c r="B4" s="3" t="s">
        <v>2</v>
      </c>
      <c r="N4" s="5"/>
    </row>
    <row r="5" spans="1:14" x14ac:dyDescent="0.2">
      <c r="C5" s="6" t="s">
        <v>80</v>
      </c>
      <c r="K5" s="2" t="s">
        <v>3</v>
      </c>
      <c r="L5" s="2">
        <v>134</v>
      </c>
      <c r="M5" s="5"/>
    </row>
    <row r="6" spans="1:14" x14ac:dyDescent="0.2">
      <c r="C6" s="2" t="s">
        <v>81</v>
      </c>
      <c r="K6" s="2" t="s">
        <v>4</v>
      </c>
      <c r="L6" s="2">
        <f>441.500418+193.343397</f>
        <v>634.84381500000006</v>
      </c>
      <c r="M6" s="5" t="s">
        <v>42</v>
      </c>
    </row>
    <row r="7" spans="1:14" x14ac:dyDescent="0.2">
      <c r="C7" s="2" t="s">
        <v>82</v>
      </c>
      <c r="K7" s="2" t="s">
        <v>5</v>
      </c>
      <c r="L7" s="2">
        <f>+L5*L6</f>
        <v>85069.071210000009</v>
      </c>
      <c r="M7" s="5"/>
    </row>
    <row r="8" spans="1:14" x14ac:dyDescent="0.2">
      <c r="K8" s="2" t="s">
        <v>6</v>
      </c>
      <c r="L8" s="2">
        <f>7829+3264</f>
        <v>11093</v>
      </c>
      <c r="M8" s="5" t="s">
        <v>42</v>
      </c>
    </row>
    <row r="9" spans="1:14" x14ac:dyDescent="0.2">
      <c r="C9" s="2" t="s">
        <v>94</v>
      </c>
      <c r="K9" s="2" t="s">
        <v>7</v>
      </c>
      <c r="L9" s="2">
        <v>1992</v>
      </c>
      <c r="M9" s="5" t="s">
        <v>42</v>
      </c>
    </row>
    <row r="10" spans="1:14" x14ac:dyDescent="0.2">
      <c r="C10" s="2" t="s">
        <v>95</v>
      </c>
      <c r="K10" s="2" t="s">
        <v>8</v>
      </c>
      <c r="L10" s="2">
        <f>+L7-L8+L9</f>
        <v>75968.071210000009</v>
      </c>
      <c r="M10" s="5"/>
    </row>
    <row r="11" spans="1:14" x14ac:dyDescent="0.2">
      <c r="L11" s="2">
        <f>555*4</f>
        <v>2220</v>
      </c>
    </row>
    <row r="12" spans="1:14" x14ac:dyDescent="0.2">
      <c r="L12" s="13">
        <f>+L10/L11</f>
        <v>34.219851896396399</v>
      </c>
    </row>
  </sheetData>
  <hyperlinks>
    <hyperlink ref="A1" r:id="rId1" xr:uid="{E0E12C80-A240-4EAA-B424-FA40AB0894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66BF-12CF-42BB-BF5A-EDCF21D898AE}">
  <dimension ref="A1:EF91"/>
  <sheetViews>
    <sheetView workbookViewId="0">
      <pane xSplit="2" ySplit="4" topLeftCell="J5" activePane="bottomRight" state="frozen"/>
      <selection pane="topRight" activeCell="C1" sqref="C1"/>
      <selection pane="bottomLeft" activeCell="A5" sqref="A5"/>
      <selection pane="bottomRight" activeCell="R49" sqref="R49"/>
    </sheetView>
  </sheetViews>
  <sheetFormatPr defaultRowHeight="12.75" x14ac:dyDescent="0.2"/>
  <cols>
    <col min="1" max="1" width="3.28515625" style="2" customWidth="1"/>
    <col min="2" max="2" width="18.85546875" style="2" bestFit="1" customWidth="1"/>
    <col min="3" max="15" width="10.140625" style="2" bestFit="1" customWidth="1"/>
    <col min="16" max="25" width="9.140625" style="2"/>
    <col min="26" max="41" width="9" style="2" customWidth="1"/>
    <col min="42" max="42" width="9.140625" style="2"/>
    <col min="43" max="43" width="12" style="2" customWidth="1"/>
    <col min="44" max="16384" width="9.140625" style="2"/>
  </cols>
  <sheetData>
    <row r="1" spans="1:41" x14ac:dyDescent="0.2">
      <c r="A1" s="12" t="s">
        <v>77</v>
      </c>
    </row>
    <row r="2" spans="1:41" ht="34.5" x14ac:dyDescent="0.45">
      <c r="B2" s="1" t="s">
        <v>0</v>
      </c>
    </row>
    <row r="3" spans="1:41" s="8" customFormat="1" x14ac:dyDescent="0.2">
      <c r="B3" s="3" t="s">
        <v>1</v>
      </c>
      <c r="C3" s="8">
        <v>44286</v>
      </c>
      <c r="D3" s="8">
        <v>44377</v>
      </c>
      <c r="E3" s="8">
        <v>44469</v>
      </c>
      <c r="F3" s="8">
        <v>44561</v>
      </c>
      <c r="G3" s="8">
        <v>44651</v>
      </c>
      <c r="H3" s="8">
        <v>44742</v>
      </c>
      <c r="I3" s="8">
        <v>44834</v>
      </c>
      <c r="J3" s="8">
        <v>44926</v>
      </c>
      <c r="K3" s="8">
        <v>45016</v>
      </c>
      <c r="L3" s="8">
        <v>45107</v>
      </c>
      <c r="M3" s="8">
        <v>45199</v>
      </c>
      <c r="N3" s="8">
        <v>45291</v>
      </c>
      <c r="O3" s="8">
        <v>45382</v>
      </c>
      <c r="P3" s="8">
        <v>45473</v>
      </c>
    </row>
    <row r="4" spans="1:41" s="5" customFormat="1" x14ac:dyDescent="0.2">
      <c r="B4" s="3" t="s">
        <v>2</v>
      </c>
      <c r="C4" s="5" t="s">
        <v>30</v>
      </c>
      <c r="D4" s="5" t="s">
        <v>31</v>
      </c>
      <c r="E4" s="5" t="s">
        <v>32</v>
      </c>
      <c r="F4" s="5" t="s">
        <v>33</v>
      </c>
      <c r="G4" s="5" t="s">
        <v>34</v>
      </c>
      <c r="H4" s="5" t="s">
        <v>35</v>
      </c>
      <c r="I4" s="5" t="s">
        <v>36</v>
      </c>
      <c r="J4" s="5" t="s">
        <v>37</v>
      </c>
      <c r="K4" s="5" t="s">
        <v>38</v>
      </c>
      <c r="L4" s="5" t="s">
        <v>39</v>
      </c>
      <c r="M4" s="5" t="s">
        <v>40</v>
      </c>
      <c r="N4" s="5" t="s">
        <v>41</v>
      </c>
      <c r="O4" s="5" t="s">
        <v>9</v>
      </c>
      <c r="P4" s="5" t="s">
        <v>42</v>
      </c>
      <c r="Q4" s="5" t="s">
        <v>43</v>
      </c>
      <c r="R4" s="5" t="s">
        <v>44</v>
      </c>
      <c r="T4" s="7">
        <v>2018</v>
      </c>
      <c r="U4" s="7">
        <f>+T4+1</f>
        <v>2019</v>
      </c>
      <c r="V4" s="7">
        <f t="shared" ref="V4:AI4" si="0">+U4+1</f>
        <v>2020</v>
      </c>
      <c r="W4" s="7">
        <f t="shared" si="0"/>
        <v>2021</v>
      </c>
      <c r="X4" s="7">
        <f t="shared" si="0"/>
        <v>2022</v>
      </c>
      <c r="Y4" s="7">
        <f t="shared" si="0"/>
        <v>2023</v>
      </c>
      <c r="Z4" s="7">
        <f t="shared" si="0"/>
        <v>2024</v>
      </c>
      <c r="AA4" s="7">
        <f t="shared" si="0"/>
        <v>2025</v>
      </c>
      <c r="AB4" s="7">
        <f t="shared" si="0"/>
        <v>2026</v>
      </c>
      <c r="AC4" s="7">
        <f t="shared" si="0"/>
        <v>2027</v>
      </c>
      <c r="AD4" s="7">
        <f t="shared" si="0"/>
        <v>2028</v>
      </c>
      <c r="AE4" s="7">
        <f t="shared" si="0"/>
        <v>2029</v>
      </c>
      <c r="AF4" s="7">
        <f t="shared" si="0"/>
        <v>2030</v>
      </c>
      <c r="AG4" s="7">
        <f t="shared" si="0"/>
        <v>2031</v>
      </c>
      <c r="AH4" s="7">
        <f t="shared" si="0"/>
        <v>2032</v>
      </c>
      <c r="AI4" s="7">
        <f t="shared" si="0"/>
        <v>2033</v>
      </c>
      <c r="AJ4" s="7">
        <f t="shared" ref="AJ4" si="1">+AI4+1</f>
        <v>2034</v>
      </c>
      <c r="AK4" s="7">
        <f t="shared" ref="AK4" si="2">+AJ4+1</f>
        <v>2035</v>
      </c>
      <c r="AL4" s="7">
        <f t="shared" ref="AL4" si="3">+AK4+1</f>
        <v>2036</v>
      </c>
      <c r="AM4" s="7">
        <f t="shared" ref="AM4" si="4">+AL4+1</f>
        <v>2037</v>
      </c>
      <c r="AN4" s="7">
        <f t="shared" ref="AN4:AO4" si="5">+AM4+1</f>
        <v>2038</v>
      </c>
      <c r="AO4" s="7">
        <f t="shared" si="5"/>
        <v>2039</v>
      </c>
    </row>
    <row r="5" spans="1:41" s="14" customFormat="1" x14ac:dyDescent="0.2">
      <c r="B5" s="15" t="s">
        <v>92</v>
      </c>
      <c r="K5" s="14">
        <v>121.1</v>
      </c>
      <c r="L5" s="14">
        <v>115.1</v>
      </c>
      <c r="O5" s="14">
        <v>132.6</v>
      </c>
      <c r="P5" s="14">
        <v>125.1</v>
      </c>
    </row>
    <row r="6" spans="1:41" s="16" customFormat="1" x14ac:dyDescent="0.2">
      <c r="B6" s="10" t="s">
        <v>93</v>
      </c>
      <c r="O6" s="16">
        <f>+O5/K5-1</f>
        <v>9.4962840627580425E-2</v>
      </c>
      <c r="P6" s="16">
        <f>+P5/L5-1</f>
        <v>8.6880973066898459E-2</v>
      </c>
    </row>
    <row r="7" spans="1:41" s="5" customFormat="1" x14ac:dyDescent="0.2">
      <c r="B7" s="2"/>
      <c r="K7" s="17"/>
      <c r="O7" s="1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1" s="5" customFormat="1" x14ac:dyDescent="0.2">
      <c r="B8" s="2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1:41" s="5" customFormat="1" x14ac:dyDescent="0.2">
      <c r="B9" s="2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1" s="5" customFormat="1" x14ac:dyDescent="0.2">
      <c r="B10" s="2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1" s="6" customFormat="1" x14ac:dyDescent="0.2">
      <c r="B11" s="6" t="s">
        <v>10</v>
      </c>
      <c r="C11" s="6">
        <v>886.93600000000004</v>
      </c>
      <c r="D11" s="6">
        <v>1335.1959999999999</v>
      </c>
      <c r="E11" s="6">
        <v>2237.4319999999998</v>
      </c>
      <c r="F11" s="6">
        <v>1532.1959999999999</v>
      </c>
      <c r="G11" s="6">
        <v>1508.9369999999999</v>
      </c>
      <c r="H11" s="6">
        <v>2104</v>
      </c>
      <c r="I11" s="6">
        <v>2884</v>
      </c>
      <c r="J11" s="6">
        <v>1902</v>
      </c>
      <c r="K11" s="6">
        <v>1818</v>
      </c>
      <c r="L11" s="6">
        <v>2484</v>
      </c>
      <c r="M11" s="6">
        <v>3397</v>
      </c>
      <c r="N11" s="6">
        <v>2218</v>
      </c>
      <c r="O11" s="6">
        <v>2142</v>
      </c>
      <c r="P11" s="6">
        <v>2748</v>
      </c>
      <c r="Q11" s="6">
        <f>+M11*1.19</f>
        <v>4042.43</v>
      </c>
      <c r="R11" s="6">
        <f>+N11*1.19</f>
        <v>2639.42</v>
      </c>
      <c r="T11" s="6">
        <v>3651.9850000000001</v>
      </c>
      <c r="U11" s="6">
        <v>4805.2389999999996</v>
      </c>
      <c r="V11" s="6">
        <v>3378.1990000000001</v>
      </c>
      <c r="W11" s="6">
        <v>5992</v>
      </c>
      <c r="X11" s="6">
        <v>8399</v>
      </c>
      <c r="Y11" s="6">
        <v>9917</v>
      </c>
      <c r="Z11" s="6">
        <f>+Y11*1.15</f>
        <v>11404.55</v>
      </c>
      <c r="AA11" s="6">
        <f t="shared" ref="AA11:AI11" si="6">+Z11*1.15</f>
        <v>13115.232499999998</v>
      </c>
      <c r="AB11" s="6">
        <f t="shared" si="6"/>
        <v>15082.517374999998</v>
      </c>
      <c r="AC11" s="6">
        <f t="shared" si="6"/>
        <v>17344.894981249996</v>
      </c>
      <c r="AD11" s="6">
        <f t="shared" si="6"/>
        <v>19946.629228437494</v>
      </c>
      <c r="AE11" s="6">
        <f t="shared" si="6"/>
        <v>22938.623612703115</v>
      </c>
      <c r="AF11" s="6">
        <f t="shared" si="6"/>
        <v>26379.417154608582</v>
      </c>
      <c r="AG11" s="6">
        <f t="shared" si="6"/>
        <v>30336.329727799868</v>
      </c>
      <c r="AH11" s="6">
        <f t="shared" si="6"/>
        <v>34886.779186969849</v>
      </c>
      <c r="AI11" s="6">
        <f t="shared" si="6"/>
        <v>40119.796065015325</v>
      </c>
      <c r="AJ11" s="6">
        <f t="shared" ref="AJ11" si="7">+AI11*1.15</f>
        <v>46137.765474767621</v>
      </c>
      <c r="AK11" s="6">
        <f t="shared" ref="AK11" si="8">+AJ11*1.15</f>
        <v>53058.430295982762</v>
      </c>
      <c r="AL11" s="6">
        <f t="shared" ref="AL11" si="9">+AK11*1.15</f>
        <v>61017.194840380173</v>
      </c>
      <c r="AM11" s="6">
        <f t="shared" ref="AM11" si="10">+AL11*1.15</f>
        <v>70169.774066437196</v>
      </c>
      <c r="AN11" s="6">
        <f t="shared" ref="AN11" si="11">+AM11*1.15</f>
        <v>80695.240176402775</v>
      </c>
      <c r="AO11" s="6">
        <f t="shared" ref="AO11" si="12">+AN11*1.15</f>
        <v>92799.526202863184</v>
      </c>
    </row>
    <row r="12" spans="1:41" x14ac:dyDescent="0.2">
      <c r="B12" s="2" t="s">
        <v>11</v>
      </c>
      <c r="C12" s="2">
        <v>254.51499999999999</v>
      </c>
      <c r="D12" s="2">
        <v>294.42700000000002</v>
      </c>
      <c r="E12" s="2">
        <v>311.58</v>
      </c>
      <c r="F12" s="2">
        <v>295.31099999999998</v>
      </c>
      <c r="G12" s="2">
        <v>362.62299999999999</v>
      </c>
      <c r="H12" s="2">
        <v>390</v>
      </c>
      <c r="I12" s="2">
        <v>401</v>
      </c>
      <c r="J12" s="2">
        <v>345</v>
      </c>
      <c r="K12" s="2">
        <v>428</v>
      </c>
      <c r="L12" s="2">
        <v>432</v>
      </c>
      <c r="M12" s="2">
        <v>459</v>
      </c>
      <c r="N12" s="2">
        <v>384</v>
      </c>
      <c r="O12" s="2">
        <v>480</v>
      </c>
      <c r="P12" s="2">
        <v>506</v>
      </c>
      <c r="T12" s="2">
        <v>864.03200000000004</v>
      </c>
      <c r="U12" s="2">
        <v>1196.3130000000001</v>
      </c>
      <c r="V12" s="2">
        <v>876.04200000000003</v>
      </c>
      <c r="W12" s="2">
        <v>1156</v>
      </c>
      <c r="X12" s="2">
        <v>1499</v>
      </c>
      <c r="Y12" s="2">
        <v>1703</v>
      </c>
      <c r="Z12" s="2">
        <f>+Z11*0.1</f>
        <v>1140.4549999999999</v>
      </c>
      <c r="AA12" s="2">
        <f t="shared" ref="AA12:AO12" si="13">+AA11*0.1</f>
        <v>1311.52325</v>
      </c>
      <c r="AB12" s="2">
        <f t="shared" si="13"/>
        <v>1508.2517374999998</v>
      </c>
      <c r="AC12" s="2">
        <f t="shared" si="13"/>
        <v>1734.4894981249997</v>
      </c>
      <c r="AD12" s="2">
        <f t="shared" si="13"/>
        <v>1994.6629228437496</v>
      </c>
      <c r="AE12" s="2">
        <f t="shared" si="13"/>
        <v>2293.8623612703118</v>
      </c>
      <c r="AF12" s="2">
        <f t="shared" si="13"/>
        <v>2637.9417154608582</v>
      </c>
      <c r="AG12" s="2">
        <f t="shared" si="13"/>
        <v>3033.6329727799871</v>
      </c>
      <c r="AH12" s="2">
        <f t="shared" si="13"/>
        <v>3488.6779186969852</v>
      </c>
      <c r="AI12" s="2">
        <f t="shared" si="13"/>
        <v>4011.9796065015325</v>
      </c>
      <c r="AJ12" s="2">
        <f t="shared" si="13"/>
        <v>4613.7765474767621</v>
      </c>
      <c r="AK12" s="2">
        <f t="shared" si="13"/>
        <v>5305.8430295982762</v>
      </c>
      <c r="AL12" s="2">
        <f t="shared" si="13"/>
        <v>6101.719484038018</v>
      </c>
      <c r="AM12" s="2">
        <f t="shared" si="13"/>
        <v>7016.9774066437203</v>
      </c>
      <c r="AN12" s="2">
        <f t="shared" si="13"/>
        <v>8069.5240176402776</v>
      </c>
      <c r="AO12" s="2">
        <f t="shared" si="13"/>
        <v>9279.9526202863181</v>
      </c>
    </row>
    <row r="13" spans="1:41" x14ac:dyDescent="0.2">
      <c r="B13" s="2" t="s">
        <v>29</v>
      </c>
      <c r="C13" s="2">
        <f t="shared" ref="C13:P13" si="14">+C11-C12</f>
        <v>632.42100000000005</v>
      </c>
      <c r="D13" s="2">
        <f t="shared" si="14"/>
        <v>1040.7689999999998</v>
      </c>
      <c r="E13" s="2">
        <f t="shared" si="14"/>
        <v>1925.8519999999999</v>
      </c>
      <c r="F13" s="2">
        <f t="shared" si="14"/>
        <v>1236.885</v>
      </c>
      <c r="G13" s="2">
        <f t="shared" si="14"/>
        <v>1146.3139999999999</v>
      </c>
      <c r="H13" s="2">
        <f t="shared" si="14"/>
        <v>1714</v>
      </c>
      <c r="I13" s="2">
        <f t="shared" si="14"/>
        <v>2483</v>
      </c>
      <c r="J13" s="2">
        <f t="shared" si="14"/>
        <v>1557</v>
      </c>
      <c r="K13" s="2">
        <f t="shared" si="14"/>
        <v>1390</v>
      </c>
      <c r="L13" s="2">
        <f t="shared" si="14"/>
        <v>2052</v>
      </c>
      <c r="M13" s="2">
        <f t="shared" si="14"/>
        <v>2938</v>
      </c>
      <c r="N13" s="2">
        <f t="shared" si="14"/>
        <v>1834</v>
      </c>
      <c r="O13" s="2">
        <f t="shared" si="14"/>
        <v>1662</v>
      </c>
      <c r="P13" s="2">
        <f t="shared" si="14"/>
        <v>2242</v>
      </c>
      <c r="T13" s="2">
        <f t="shared" ref="T13:Y13" si="15">+T11-T12</f>
        <v>2787.953</v>
      </c>
      <c r="U13" s="2">
        <f t="shared" si="15"/>
        <v>3608.9259999999995</v>
      </c>
      <c r="V13" s="2">
        <f t="shared" si="15"/>
        <v>2502.1570000000002</v>
      </c>
      <c r="W13" s="2">
        <f t="shared" si="15"/>
        <v>4836</v>
      </c>
      <c r="X13" s="2">
        <f t="shared" si="15"/>
        <v>6900</v>
      </c>
      <c r="Y13" s="2">
        <f t="shared" si="15"/>
        <v>8214</v>
      </c>
      <c r="Z13" s="2">
        <f t="shared" ref="Z13:AO13" si="16">+Z11-Z12</f>
        <v>10264.094999999999</v>
      </c>
      <c r="AA13" s="2">
        <f t="shared" si="16"/>
        <v>11803.709249999998</v>
      </c>
      <c r="AB13" s="2">
        <f t="shared" si="16"/>
        <v>13574.265637499997</v>
      </c>
      <c r="AC13" s="2">
        <f t="shared" si="16"/>
        <v>15610.405483124996</v>
      </c>
      <c r="AD13" s="2">
        <f t="shared" si="16"/>
        <v>17951.966305593745</v>
      </c>
      <c r="AE13" s="2">
        <f t="shared" si="16"/>
        <v>20644.761251432803</v>
      </c>
      <c r="AF13" s="2">
        <f t="shared" si="16"/>
        <v>23741.475439147725</v>
      </c>
      <c r="AG13" s="2">
        <f t="shared" si="16"/>
        <v>27302.696755019882</v>
      </c>
      <c r="AH13" s="2">
        <f t="shared" si="16"/>
        <v>31398.101268272861</v>
      </c>
      <c r="AI13" s="2">
        <f t="shared" si="16"/>
        <v>36107.816458513793</v>
      </c>
      <c r="AJ13" s="2">
        <f t="shared" si="16"/>
        <v>41523.988927290862</v>
      </c>
      <c r="AK13" s="2">
        <f t="shared" si="16"/>
        <v>47752.587266384486</v>
      </c>
      <c r="AL13" s="2">
        <f t="shared" si="16"/>
        <v>54915.475356342155</v>
      </c>
      <c r="AM13" s="2">
        <f t="shared" si="16"/>
        <v>63152.796659793472</v>
      </c>
      <c r="AN13" s="2">
        <f t="shared" si="16"/>
        <v>72625.716158762501</v>
      </c>
      <c r="AO13" s="2">
        <f t="shared" si="16"/>
        <v>83519.573582576864</v>
      </c>
    </row>
    <row r="14" spans="1:41" x14ac:dyDescent="0.2">
      <c r="B14" s="2" t="s">
        <v>12</v>
      </c>
      <c r="C14" s="2">
        <v>185.43600000000001</v>
      </c>
      <c r="D14" s="2">
        <v>208.125</v>
      </c>
      <c r="E14" s="2">
        <v>228.33</v>
      </c>
      <c r="F14" s="2">
        <v>225.166</v>
      </c>
      <c r="G14" s="2">
        <v>233.012</v>
      </c>
      <c r="H14" s="2">
        <v>258</v>
      </c>
      <c r="I14" s="2">
        <v>290</v>
      </c>
      <c r="J14" s="2">
        <v>260</v>
      </c>
      <c r="K14" s="2">
        <v>282</v>
      </c>
      <c r="L14" s="2">
        <v>317</v>
      </c>
      <c r="M14" s="2">
        <v>316</v>
      </c>
      <c r="N14" s="2">
        <v>271</v>
      </c>
      <c r="O14" s="2">
        <v>285</v>
      </c>
      <c r="P14" s="2">
        <v>338</v>
      </c>
      <c r="T14" s="2">
        <v>609.202</v>
      </c>
      <c r="U14" s="2">
        <v>815.07399999999996</v>
      </c>
      <c r="V14" s="2">
        <v>877.90099999999995</v>
      </c>
      <c r="W14" s="2">
        <v>847</v>
      </c>
      <c r="X14" s="2">
        <v>1041</v>
      </c>
      <c r="Y14" s="2">
        <v>1186</v>
      </c>
      <c r="Z14" s="2">
        <f>+Y14*1.1</f>
        <v>1304.6000000000001</v>
      </c>
      <c r="AA14" s="2">
        <f t="shared" ref="AA14:AI14" si="17">+Z14*1.1</f>
        <v>1435.0600000000002</v>
      </c>
      <c r="AB14" s="2">
        <f t="shared" si="17"/>
        <v>1578.5660000000003</v>
      </c>
      <c r="AC14" s="2">
        <f t="shared" si="17"/>
        <v>1736.4226000000003</v>
      </c>
      <c r="AD14" s="2">
        <f t="shared" si="17"/>
        <v>1910.0648600000004</v>
      </c>
      <c r="AE14" s="2">
        <f t="shared" si="17"/>
        <v>2101.0713460000006</v>
      </c>
      <c r="AF14" s="2">
        <f t="shared" si="17"/>
        <v>2311.178480600001</v>
      </c>
      <c r="AG14" s="2">
        <f t="shared" si="17"/>
        <v>2542.2963286600011</v>
      </c>
      <c r="AH14" s="2">
        <f t="shared" si="17"/>
        <v>2796.5259615260015</v>
      </c>
      <c r="AI14" s="2">
        <f t="shared" si="17"/>
        <v>3076.1785576786019</v>
      </c>
      <c r="AJ14" s="2">
        <f t="shared" ref="AJ14:AJ15" si="18">+AI14*1.1</f>
        <v>3383.7964134464623</v>
      </c>
      <c r="AK14" s="2">
        <f t="shared" ref="AK14:AK15" si="19">+AJ14*1.1</f>
        <v>3722.176054791109</v>
      </c>
      <c r="AL14" s="2">
        <f t="shared" ref="AL14:AL15" si="20">+AK14*1.1</f>
        <v>4094.3936602702202</v>
      </c>
      <c r="AM14" s="2">
        <f t="shared" ref="AM14:AM15" si="21">+AL14*1.1</f>
        <v>4503.8330262972422</v>
      </c>
      <c r="AN14" s="2">
        <f t="shared" ref="AN14:AN15" si="22">+AM14*1.1</f>
        <v>4954.2163289269665</v>
      </c>
      <c r="AO14" s="2">
        <f t="shared" ref="AO14:AO15" si="23">+AN14*1.1</f>
        <v>5449.6379618196634</v>
      </c>
    </row>
    <row r="15" spans="1:41" x14ac:dyDescent="0.2">
      <c r="B15" s="2" t="s">
        <v>13</v>
      </c>
      <c r="C15" s="2">
        <v>363.06099999999998</v>
      </c>
      <c r="D15" s="2">
        <v>349.73399999999998</v>
      </c>
      <c r="E15" s="2">
        <v>344.41</v>
      </c>
      <c r="F15" s="2">
        <v>367.84300000000002</v>
      </c>
      <c r="G15" s="2">
        <v>362.92700000000002</v>
      </c>
      <c r="H15" s="2">
        <v>375</v>
      </c>
      <c r="I15" s="2">
        <v>366</v>
      </c>
      <c r="J15" s="2">
        <v>398</v>
      </c>
      <c r="K15" s="2">
        <v>420</v>
      </c>
      <c r="L15" s="2">
        <v>451</v>
      </c>
      <c r="M15" s="2">
        <v>419</v>
      </c>
      <c r="N15" s="2">
        <v>432</v>
      </c>
      <c r="O15" s="2">
        <v>475</v>
      </c>
      <c r="P15" s="2">
        <v>519</v>
      </c>
      <c r="T15" s="2">
        <v>579.19299999999998</v>
      </c>
      <c r="U15" s="2">
        <v>976.69500000000005</v>
      </c>
      <c r="V15" s="2">
        <v>2752.8719999999998</v>
      </c>
      <c r="W15" s="2">
        <v>1425</v>
      </c>
      <c r="X15" s="2">
        <v>1502</v>
      </c>
      <c r="Y15" s="2">
        <v>1722</v>
      </c>
      <c r="Z15" s="2">
        <f t="shared" ref="Z15:AI15" si="24">+Y15*1.1</f>
        <v>1894.2</v>
      </c>
      <c r="AA15" s="2">
        <f t="shared" si="24"/>
        <v>2083.6200000000003</v>
      </c>
      <c r="AB15" s="2">
        <f t="shared" si="24"/>
        <v>2291.9820000000004</v>
      </c>
      <c r="AC15" s="2">
        <f t="shared" si="24"/>
        <v>2521.1802000000007</v>
      </c>
      <c r="AD15" s="2">
        <f t="shared" si="24"/>
        <v>2773.298220000001</v>
      </c>
      <c r="AE15" s="2">
        <f t="shared" si="24"/>
        <v>3050.6280420000012</v>
      </c>
      <c r="AF15" s="2">
        <f t="shared" si="24"/>
        <v>3355.6908462000015</v>
      </c>
      <c r="AG15" s="2">
        <f t="shared" si="24"/>
        <v>3691.259930820002</v>
      </c>
      <c r="AH15" s="2">
        <f t="shared" si="24"/>
        <v>4060.3859239020026</v>
      </c>
      <c r="AI15" s="2">
        <f t="shared" si="24"/>
        <v>4466.4245162922034</v>
      </c>
      <c r="AJ15" s="2">
        <f t="shared" si="18"/>
        <v>4913.0669679214243</v>
      </c>
      <c r="AK15" s="2">
        <f t="shared" si="19"/>
        <v>5404.3736647135675</v>
      </c>
      <c r="AL15" s="2">
        <f t="shared" si="20"/>
        <v>5944.811031184925</v>
      </c>
      <c r="AM15" s="2">
        <f t="shared" si="21"/>
        <v>6539.2921343034177</v>
      </c>
      <c r="AN15" s="2">
        <f t="shared" si="22"/>
        <v>7193.22134773376</v>
      </c>
      <c r="AO15" s="2">
        <f t="shared" si="23"/>
        <v>7912.543482507137</v>
      </c>
    </row>
    <row r="16" spans="1:41" x14ac:dyDescent="0.2">
      <c r="B16" s="2" t="s">
        <v>14</v>
      </c>
      <c r="C16" s="2">
        <v>229.125</v>
      </c>
      <c r="D16" s="2">
        <v>315.32299999999998</v>
      </c>
      <c r="E16" s="2">
        <v>290.85599999999999</v>
      </c>
      <c r="F16" s="2">
        <v>351.02800000000002</v>
      </c>
      <c r="G16" s="2">
        <v>344.61599999999999</v>
      </c>
      <c r="H16" s="2">
        <v>379</v>
      </c>
      <c r="I16" s="2">
        <v>384</v>
      </c>
      <c r="J16" s="2">
        <v>408</v>
      </c>
      <c r="K16" s="2">
        <v>450</v>
      </c>
      <c r="L16" s="2">
        <v>486</v>
      </c>
      <c r="M16" s="2">
        <v>403</v>
      </c>
      <c r="N16" s="2">
        <v>424</v>
      </c>
      <c r="O16" s="2">
        <v>514</v>
      </c>
      <c r="P16" s="2">
        <v>573</v>
      </c>
      <c r="T16" s="2">
        <v>1101.327</v>
      </c>
      <c r="U16" s="2">
        <v>1621.519</v>
      </c>
      <c r="V16" s="2">
        <v>1175.325</v>
      </c>
      <c r="W16" s="2">
        <v>1186</v>
      </c>
      <c r="X16" s="2">
        <v>1516</v>
      </c>
      <c r="Y16" s="2">
        <v>1763</v>
      </c>
      <c r="Z16" s="2">
        <f>+Y16*1.08</f>
        <v>1904.0400000000002</v>
      </c>
      <c r="AA16" s="2">
        <f t="shared" ref="AA16:AI16" si="25">+Z16*1.08</f>
        <v>2056.3632000000002</v>
      </c>
      <c r="AB16" s="2">
        <f t="shared" si="25"/>
        <v>2220.8722560000006</v>
      </c>
      <c r="AC16" s="2">
        <f t="shared" si="25"/>
        <v>2398.5420364800007</v>
      </c>
      <c r="AD16" s="2">
        <f t="shared" si="25"/>
        <v>2590.4253993984007</v>
      </c>
      <c r="AE16" s="2">
        <f t="shared" si="25"/>
        <v>2797.6594313502728</v>
      </c>
      <c r="AF16" s="2">
        <f t="shared" si="25"/>
        <v>3021.4721858582948</v>
      </c>
      <c r="AG16" s="2">
        <f t="shared" si="25"/>
        <v>3263.1899607269584</v>
      </c>
      <c r="AH16" s="2">
        <f t="shared" si="25"/>
        <v>3524.2451575851151</v>
      </c>
      <c r="AI16" s="2">
        <f t="shared" si="25"/>
        <v>3806.1847701919246</v>
      </c>
      <c r="AJ16" s="2">
        <f t="shared" ref="AJ16:AO16" si="26">+AI16*1.08</f>
        <v>4110.6795518072786</v>
      </c>
      <c r="AK16" s="2">
        <f t="shared" si="26"/>
        <v>4439.5339159518608</v>
      </c>
      <c r="AL16" s="2">
        <f t="shared" si="26"/>
        <v>4794.6966292280104</v>
      </c>
      <c r="AM16" s="2">
        <f t="shared" si="26"/>
        <v>5178.2723595662519</v>
      </c>
      <c r="AN16" s="2">
        <f t="shared" si="26"/>
        <v>5592.5341483315524</v>
      </c>
      <c r="AO16" s="2">
        <f t="shared" si="26"/>
        <v>6039.9368801980772</v>
      </c>
    </row>
    <row r="17" spans="2:136" x14ac:dyDescent="0.2">
      <c r="B17" s="2" t="s">
        <v>15</v>
      </c>
      <c r="C17" s="2">
        <v>189.762</v>
      </c>
      <c r="D17" s="2">
        <v>218.303</v>
      </c>
      <c r="E17" s="2">
        <v>210.74799999999999</v>
      </c>
      <c r="F17" s="2">
        <v>216.511</v>
      </c>
      <c r="G17" s="2">
        <v>210.57300000000001</v>
      </c>
      <c r="H17" s="2">
        <v>244</v>
      </c>
      <c r="I17" s="2">
        <v>240</v>
      </c>
      <c r="J17" s="2">
        <v>256</v>
      </c>
      <c r="K17" s="2">
        <v>243</v>
      </c>
      <c r="L17" s="2">
        <v>275</v>
      </c>
      <c r="M17" s="2">
        <v>304</v>
      </c>
      <c r="N17" s="2">
        <v>1203</v>
      </c>
      <c r="O17" s="2">
        <v>287</v>
      </c>
      <c r="P17" s="2">
        <v>315</v>
      </c>
      <c r="T17" s="2">
        <v>479.48700000000002</v>
      </c>
      <c r="U17" s="2">
        <v>697.18100000000004</v>
      </c>
      <c r="V17" s="2">
        <v>1134.8510000000001</v>
      </c>
      <c r="W17" s="2">
        <v>836</v>
      </c>
      <c r="X17" s="2">
        <v>950</v>
      </c>
      <c r="Y17" s="2">
        <v>2025</v>
      </c>
      <c r="Z17" s="2">
        <f>+Y17*1.15</f>
        <v>2328.75</v>
      </c>
      <c r="AA17" s="2">
        <f t="shared" ref="AA17:AI17" si="27">+Z17*1.15</f>
        <v>2678.0625</v>
      </c>
      <c r="AB17" s="2">
        <f t="shared" si="27"/>
        <v>3079.7718749999999</v>
      </c>
      <c r="AC17" s="2">
        <f t="shared" si="27"/>
        <v>3541.7376562499994</v>
      </c>
      <c r="AD17" s="2">
        <f t="shared" si="27"/>
        <v>4072.9983046874991</v>
      </c>
      <c r="AE17" s="2">
        <f t="shared" si="27"/>
        <v>4683.9480503906234</v>
      </c>
      <c r="AF17" s="2">
        <f t="shared" si="27"/>
        <v>5386.5402579492165</v>
      </c>
      <c r="AG17" s="2">
        <f t="shared" si="27"/>
        <v>6194.5212966415984</v>
      </c>
      <c r="AH17" s="2">
        <f t="shared" si="27"/>
        <v>7123.6994911378379</v>
      </c>
      <c r="AI17" s="2">
        <f t="shared" si="27"/>
        <v>8192.2544148085126</v>
      </c>
      <c r="AJ17" s="2">
        <f t="shared" ref="AJ17:AO17" si="28">+AI17*1.15</f>
        <v>9421.092577029789</v>
      </c>
      <c r="AK17" s="2">
        <f t="shared" si="28"/>
        <v>10834.256463584257</v>
      </c>
      <c r="AL17" s="2">
        <f t="shared" si="28"/>
        <v>12459.394933121896</v>
      </c>
      <c r="AM17" s="2">
        <f t="shared" si="28"/>
        <v>14328.304173090179</v>
      </c>
      <c r="AN17" s="2">
        <f t="shared" si="28"/>
        <v>16477.549799053704</v>
      </c>
      <c r="AO17" s="2">
        <f t="shared" si="28"/>
        <v>18949.182268911758</v>
      </c>
    </row>
    <row r="18" spans="2:136" x14ac:dyDescent="0.2">
      <c r="B18" s="2" t="s">
        <v>16</v>
      </c>
      <c r="C18" s="2">
        <f t="shared" ref="C18:O18" si="29">+SUM(C14:C17)</f>
        <v>967.38400000000001</v>
      </c>
      <c r="D18" s="2">
        <f t="shared" si="29"/>
        <v>1091.4849999999999</v>
      </c>
      <c r="E18" s="2">
        <f t="shared" si="29"/>
        <v>1074.3440000000001</v>
      </c>
      <c r="F18" s="2">
        <f t="shared" si="29"/>
        <v>1160.548</v>
      </c>
      <c r="G18" s="2">
        <f t="shared" si="29"/>
        <v>1151.1280000000002</v>
      </c>
      <c r="H18" s="2">
        <f t="shared" si="29"/>
        <v>1256</v>
      </c>
      <c r="I18" s="2">
        <f t="shared" si="29"/>
        <v>1280</v>
      </c>
      <c r="J18" s="2">
        <f t="shared" si="29"/>
        <v>1322</v>
      </c>
      <c r="K18" s="2">
        <f t="shared" si="29"/>
        <v>1395</v>
      </c>
      <c r="L18" s="2">
        <f t="shared" si="29"/>
        <v>1529</v>
      </c>
      <c r="M18" s="2">
        <f t="shared" si="29"/>
        <v>1442</v>
      </c>
      <c r="N18" s="2">
        <f t="shared" si="29"/>
        <v>2330</v>
      </c>
      <c r="O18" s="2">
        <f t="shared" si="29"/>
        <v>1561</v>
      </c>
      <c r="P18" s="2">
        <f>+SUM(P14:P17)</f>
        <v>1745</v>
      </c>
      <c r="T18" s="2">
        <f t="shared" ref="T18:Y18" si="30">+SUM(T14:T17)</f>
        <v>2769.2089999999998</v>
      </c>
      <c r="U18" s="2">
        <f t="shared" si="30"/>
        <v>4110.4690000000001</v>
      </c>
      <c r="V18" s="2">
        <f t="shared" si="30"/>
        <v>5940.9490000000005</v>
      </c>
      <c r="W18" s="2">
        <f t="shared" si="30"/>
        <v>4294</v>
      </c>
      <c r="X18" s="2">
        <f t="shared" si="30"/>
        <v>5009</v>
      </c>
      <c r="Y18" s="2">
        <f t="shared" si="30"/>
        <v>6696</v>
      </c>
      <c r="Z18" s="2">
        <f t="shared" ref="Z18:AI18" si="31">+SUM(Z14:Z17)</f>
        <v>7431.59</v>
      </c>
      <c r="AA18" s="2">
        <f t="shared" si="31"/>
        <v>8253.1057000000001</v>
      </c>
      <c r="AB18" s="2">
        <f t="shared" si="31"/>
        <v>9171.1921310000016</v>
      </c>
      <c r="AC18" s="2">
        <f t="shared" si="31"/>
        <v>10197.882492730001</v>
      </c>
      <c r="AD18" s="2">
        <f t="shared" si="31"/>
        <v>11346.7867840859</v>
      </c>
      <c r="AE18" s="2">
        <f t="shared" si="31"/>
        <v>12633.306869740898</v>
      </c>
      <c r="AF18" s="2">
        <f t="shared" si="31"/>
        <v>14074.881770607513</v>
      </c>
      <c r="AG18" s="2">
        <f t="shared" si="31"/>
        <v>15691.26751684856</v>
      </c>
      <c r="AH18" s="2">
        <f t="shared" si="31"/>
        <v>17504.856534150957</v>
      </c>
      <c r="AI18" s="2">
        <f t="shared" si="31"/>
        <v>19541.042258971243</v>
      </c>
      <c r="AJ18" s="2">
        <f t="shared" ref="AJ18:AO18" si="32">+SUM(AJ14:AJ17)</f>
        <v>21828.635510204957</v>
      </c>
      <c r="AK18" s="2">
        <f t="shared" si="32"/>
        <v>24400.340099040797</v>
      </c>
      <c r="AL18" s="2">
        <f t="shared" si="32"/>
        <v>27293.296253805049</v>
      </c>
      <c r="AM18" s="2">
        <f t="shared" si="32"/>
        <v>30549.701693257091</v>
      </c>
      <c r="AN18" s="2">
        <f t="shared" si="32"/>
        <v>34217.521624045985</v>
      </c>
      <c r="AO18" s="2">
        <f t="shared" si="32"/>
        <v>38351.300593436637</v>
      </c>
    </row>
    <row r="19" spans="2:136" x14ac:dyDescent="0.2">
      <c r="B19" s="2" t="s">
        <v>17</v>
      </c>
      <c r="C19" s="2">
        <f t="shared" ref="C19:P19" si="33">+C13-C18</f>
        <v>-334.96299999999997</v>
      </c>
      <c r="D19" s="2">
        <f t="shared" si="33"/>
        <v>-50.716000000000122</v>
      </c>
      <c r="E19" s="2">
        <f t="shared" si="33"/>
        <v>851.50799999999981</v>
      </c>
      <c r="F19" s="2">
        <f t="shared" si="33"/>
        <v>76.336999999999989</v>
      </c>
      <c r="G19" s="2">
        <f t="shared" si="33"/>
        <v>-4.8140000000003056</v>
      </c>
      <c r="H19" s="2">
        <f t="shared" si="33"/>
        <v>458</v>
      </c>
      <c r="I19" s="2">
        <f t="shared" si="33"/>
        <v>1203</v>
      </c>
      <c r="J19" s="2">
        <f t="shared" si="33"/>
        <v>235</v>
      </c>
      <c r="K19" s="2">
        <f t="shared" si="33"/>
        <v>-5</v>
      </c>
      <c r="L19" s="2">
        <f t="shared" si="33"/>
        <v>523</v>
      </c>
      <c r="M19" s="2">
        <f t="shared" si="33"/>
        <v>1496</v>
      </c>
      <c r="N19" s="2">
        <f t="shared" si="33"/>
        <v>-496</v>
      </c>
      <c r="O19" s="2">
        <f t="shared" si="33"/>
        <v>101</v>
      </c>
      <c r="P19" s="2">
        <f t="shared" si="33"/>
        <v>497</v>
      </c>
      <c r="T19" s="2">
        <f t="shared" ref="T19:Y19" si="34">+T13-T18</f>
        <v>18.744000000000142</v>
      </c>
      <c r="U19" s="2">
        <f t="shared" si="34"/>
        <v>-501.54300000000057</v>
      </c>
      <c r="V19" s="2">
        <f t="shared" si="34"/>
        <v>-3438.7920000000004</v>
      </c>
      <c r="W19" s="2">
        <f t="shared" si="34"/>
        <v>542</v>
      </c>
      <c r="X19" s="2">
        <f t="shared" si="34"/>
        <v>1891</v>
      </c>
      <c r="Y19" s="2">
        <f t="shared" si="34"/>
        <v>1518</v>
      </c>
      <c r="Z19" s="2">
        <f t="shared" ref="Z19:AI19" si="35">+Z13-Z18</f>
        <v>2832.5049999999992</v>
      </c>
      <c r="AA19" s="2">
        <f t="shared" si="35"/>
        <v>3550.603549999998</v>
      </c>
      <c r="AB19" s="2">
        <f t="shared" si="35"/>
        <v>4403.0735064999953</v>
      </c>
      <c r="AC19" s="2">
        <f t="shared" si="35"/>
        <v>5412.5229903949948</v>
      </c>
      <c r="AD19" s="2">
        <f t="shared" si="35"/>
        <v>6605.1795215078455</v>
      </c>
      <c r="AE19" s="2">
        <f t="shared" si="35"/>
        <v>8011.4543816919049</v>
      </c>
      <c r="AF19" s="2">
        <f t="shared" si="35"/>
        <v>9666.5936685402121</v>
      </c>
      <c r="AG19" s="2">
        <f t="shared" si="35"/>
        <v>11611.429238171322</v>
      </c>
      <c r="AH19" s="2">
        <f t="shared" si="35"/>
        <v>13893.244734121905</v>
      </c>
      <c r="AI19" s="2">
        <f t="shared" si="35"/>
        <v>16566.774199542549</v>
      </c>
      <c r="AJ19" s="2">
        <f t="shared" ref="AJ19:AO19" si="36">+AJ13-AJ18</f>
        <v>19695.353417085906</v>
      </c>
      <c r="AK19" s="2">
        <f t="shared" si="36"/>
        <v>23352.247167343688</v>
      </c>
      <c r="AL19" s="2">
        <f t="shared" si="36"/>
        <v>27622.179102537106</v>
      </c>
      <c r="AM19" s="2">
        <f t="shared" si="36"/>
        <v>32603.094966536381</v>
      </c>
      <c r="AN19" s="2">
        <f t="shared" si="36"/>
        <v>38408.194534716517</v>
      </c>
      <c r="AO19" s="2">
        <f t="shared" si="36"/>
        <v>45168.272989140227</v>
      </c>
    </row>
    <row r="20" spans="2:136" x14ac:dyDescent="0.2">
      <c r="B20" s="2" t="s">
        <v>18</v>
      </c>
      <c r="C20" s="2">
        <v>3.052</v>
      </c>
      <c r="D20" s="2">
        <v>2.9420000000000002</v>
      </c>
      <c r="E20" s="2">
        <v>2.9620000000000002</v>
      </c>
      <c r="F20" s="2">
        <v>3.778</v>
      </c>
      <c r="G20" s="2">
        <v>4.7439999999999998</v>
      </c>
      <c r="H20" s="2">
        <v>20</v>
      </c>
      <c r="I20" s="2">
        <v>59</v>
      </c>
      <c r="J20" s="2">
        <f>102</f>
        <v>102</v>
      </c>
      <c r="K20" s="2">
        <v>146</v>
      </c>
      <c r="L20" s="2">
        <v>191</v>
      </c>
      <c r="M20" s="2">
        <v>192</v>
      </c>
      <c r="N20" s="2">
        <v>192</v>
      </c>
      <c r="O20" s="2">
        <v>202</v>
      </c>
      <c r="P20" s="2">
        <v>226</v>
      </c>
      <c r="T20" s="2">
        <v>66.793000000000006</v>
      </c>
      <c r="U20" s="2">
        <v>85.902000000000001</v>
      </c>
      <c r="V20" s="2">
        <v>27.117000000000001</v>
      </c>
      <c r="W20" s="2">
        <v>13</v>
      </c>
      <c r="X20" s="2">
        <v>186</v>
      </c>
      <c r="Y20" s="2">
        <v>721</v>
      </c>
      <c r="Z20" s="2">
        <f>+Y36*$AR$29</f>
        <v>91.01</v>
      </c>
      <c r="AA20" s="2">
        <f t="shared" ref="AA20:AI20" si="37">+Z36*$AR$29</f>
        <v>111.69412</v>
      </c>
      <c r="AB20" s="2">
        <f t="shared" si="37"/>
        <v>138.28850136</v>
      </c>
      <c r="AC20" s="2">
        <f t="shared" si="37"/>
        <v>171.91539742287995</v>
      </c>
      <c r="AD20" s="2">
        <f t="shared" si="37"/>
        <v>213.88690452542295</v>
      </c>
      <c r="AE20" s="2">
        <f t="shared" si="37"/>
        <v>265.73543593368908</v>
      </c>
      <c r="AF20" s="2">
        <f t="shared" si="37"/>
        <v>329.24895447469385</v>
      </c>
      <c r="AG20" s="2">
        <f t="shared" si="37"/>
        <v>406.51169545881305</v>
      </c>
      <c r="AH20" s="2">
        <f t="shared" si="37"/>
        <v>499.95122292785413</v>
      </c>
      <c r="AI20" s="2">
        <f t="shared" si="37"/>
        <v>612.39279058425223</v>
      </c>
      <c r="AJ20" s="2">
        <f t="shared" ref="AJ20:AO20" si="38">+AI36*$AR$29</f>
        <v>747.12212650526669</v>
      </c>
      <c r="AK20" s="2">
        <f t="shared" si="38"/>
        <v>907.95793085399612</v>
      </c>
      <c r="AL20" s="2">
        <f t="shared" si="38"/>
        <v>1099.3355716395777</v>
      </c>
      <c r="AM20" s="2">
        <f t="shared" si="38"/>
        <v>1326.403689032991</v>
      </c>
      <c r="AN20" s="2">
        <f t="shared" si="38"/>
        <v>1595.135678277546</v>
      </c>
      <c r="AO20" s="2">
        <f t="shared" si="38"/>
        <v>1912.4583199814983</v>
      </c>
    </row>
    <row r="21" spans="2:136" x14ac:dyDescent="0.2">
      <c r="B21" s="2" t="s">
        <v>19</v>
      </c>
      <c r="C21" s="2">
        <v>-421.911</v>
      </c>
      <c r="D21" s="2">
        <v>-6.52</v>
      </c>
      <c r="E21" s="2">
        <v>-6.649</v>
      </c>
      <c r="F21" s="2">
        <v>-2.5190000000000001</v>
      </c>
      <c r="G21" s="2">
        <v>-4.7640000000000002</v>
      </c>
      <c r="H21" s="2">
        <v>-8</v>
      </c>
      <c r="I21" s="2">
        <v>-5</v>
      </c>
      <c r="J21" s="2">
        <v>-5</v>
      </c>
      <c r="K21" s="2">
        <v>-11</v>
      </c>
      <c r="L21" s="2">
        <f>-2</f>
        <v>-2</v>
      </c>
      <c r="M21" s="2">
        <v>-6</v>
      </c>
      <c r="N21" s="2">
        <f>-71</f>
        <v>-71</v>
      </c>
      <c r="O21" s="2">
        <v>-10</v>
      </c>
      <c r="P21" s="2">
        <v>-42</v>
      </c>
      <c r="T21" s="2">
        <v>-26.143000000000001</v>
      </c>
      <c r="U21" s="2">
        <v>-9.968</v>
      </c>
      <c r="V21" s="2">
        <v>-171.68799999999999</v>
      </c>
      <c r="W21" s="2">
        <v>-438</v>
      </c>
      <c r="X21" s="2">
        <v>-24</v>
      </c>
      <c r="Y21" s="2">
        <v>-83</v>
      </c>
      <c r="Z21" s="2">
        <v>-125</v>
      </c>
      <c r="AA21" s="2">
        <v>-125</v>
      </c>
      <c r="AB21" s="2">
        <v>-125</v>
      </c>
      <c r="AC21" s="2">
        <v>-125</v>
      </c>
      <c r="AD21" s="2">
        <v>-125</v>
      </c>
      <c r="AE21" s="2">
        <v>-125</v>
      </c>
      <c r="AF21" s="2">
        <v>-125</v>
      </c>
      <c r="AG21" s="2">
        <v>-125</v>
      </c>
      <c r="AH21" s="2">
        <v>-125</v>
      </c>
      <c r="AI21" s="2">
        <v>-125</v>
      </c>
      <c r="AJ21" s="2">
        <v>-125</v>
      </c>
      <c r="AK21" s="2">
        <v>-125</v>
      </c>
      <c r="AL21" s="2">
        <v>-125</v>
      </c>
      <c r="AM21" s="2">
        <v>-125</v>
      </c>
      <c r="AN21" s="2">
        <v>-125</v>
      </c>
      <c r="AO21" s="2">
        <v>-125</v>
      </c>
    </row>
    <row r="22" spans="2:136" x14ac:dyDescent="0.2">
      <c r="B22" s="2" t="s">
        <v>51</v>
      </c>
      <c r="C22" s="2">
        <v>-300.09800000000001</v>
      </c>
      <c r="D22" s="2">
        <v>-2.1280000000000001</v>
      </c>
      <c r="E22" s="2">
        <v>2.1720000000000002</v>
      </c>
      <c r="F22" s="2">
        <v>-4.6050000000000004</v>
      </c>
      <c r="G22" s="2">
        <v>-1.9350000000000001</v>
      </c>
      <c r="H22" s="2">
        <v>2</v>
      </c>
      <c r="I22" s="2">
        <v>13</v>
      </c>
      <c r="J22" s="2">
        <v>12</v>
      </c>
      <c r="K22" s="2">
        <v>0</v>
      </c>
      <c r="L22" s="2">
        <v>-36</v>
      </c>
      <c r="M22" s="2">
        <v>-3</v>
      </c>
      <c r="N22" s="2">
        <v>-8</v>
      </c>
      <c r="O22" s="2">
        <v>0</v>
      </c>
      <c r="P22" s="2">
        <v>0</v>
      </c>
      <c r="T22" s="2">
        <v>-12.361000000000001</v>
      </c>
      <c r="U22" s="2">
        <v>13.906000000000001</v>
      </c>
      <c r="V22" s="2">
        <v>-947.22</v>
      </c>
      <c r="W22" s="2">
        <v>-304</v>
      </c>
      <c r="X22" s="2">
        <v>25</v>
      </c>
      <c r="Y22" s="2">
        <v>-54</v>
      </c>
      <c r="Z22" s="2">
        <v>-213</v>
      </c>
      <c r="AA22" s="2">
        <v>-213</v>
      </c>
      <c r="AB22" s="2">
        <v>-213</v>
      </c>
      <c r="AC22" s="2">
        <v>-213</v>
      </c>
      <c r="AD22" s="2">
        <v>-213</v>
      </c>
      <c r="AE22" s="2">
        <v>-213</v>
      </c>
      <c r="AF22" s="2">
        <v>-213</v>
      </c>
      <c r="AG22" s="2">
        <v>-213</v>
      </c>
      <c r="AH22" s="2">
        <v>-213</v>
      </c>
      <c r="AI22" s="2">
        <v>-213</v>
      </c>
      <c r="AJ22" s="2">
        <v>-213</v>
      </c>
      <c r="AK22" s="2">
        <v>-213</v>
      </c>
      <c r="AL22" s="2">
        <v>-213</v>
      </c>
      <c r="AM22" s="2">
        <v>-213</v>
      </c>
      <c r="AN22" s="2">
        <v>-213</v>
      </c>
      <c r="AO22" s="2">
        <v>-213</v>
      </c>
    </row>
    <row r="23" spans="2:136" x14ac:dyDescent="0.2">
      <c r="B23" s="2" t="s">
        <v>20</v>
      </c>
      <c r="C23" s="2">
        <f t="shared" ref="C23" si="39">+SUM(C20:C22)+C19</f>
        <v>-1053.92</v>
      </c>
      <c r="D23" s="2">
        <f>+SUM(D20:D22)+D19</f>
        <v>-56.422000000000125</v>
      </c>
      <c r="E23" s="2">
        <f>+SUM(E20:E22)+E19</f>
        <v>849.99299999999982</v>
      </c>
      <c r="F23" s="2">
        <f>+SUM(F20:F22)+F19</f>
        <v>72.990999999999985</v>
      </c>
      <c r="G23" s="2">
        <f t="shared" ref="G23:K23" si="40">+SUM(G20:G22)+G19</f>
        <v>-6.7690000000003057</v>
      </c>
      <c r="H23" s="2">
        <f t="shared" si="40"/>
        <v>472</v>
      </c>
      <c r="I23" s="2">
        <f t="shared" si="40"/>
        <v>1270</v>
      </c>
      <c r="J23" s="2">
        <f t="shared" si="40"/>
        <v>344</v>
      </c>
      <c r="K23" s="2">
        <f t="shared" si="40"/>
        <v>130</v>
      </c>
      <c r="L23" s="2">
        <f>+SUM(L20:L22)+L19</f>
        <v>676</v>
      </c>
      <c r="M23" s="2">
        <f t="shared" ref="M23:P23" si="41">+SUM(M20:M22)+M19</f>
        <v>1679</v>
      </c>
      <c r="N23" s="2">
        <f t="shared" si="41"/>
        <v>-383</v>
      </c>
      <c r="O23" s="2">
        <f t="shared" si="41"/>
        <v>293</v>
      </c>
      <c r="P23" s="2">
        <f t="shared" si="41"/>
        <v>681</v>
      </c>
      <c r="T23" s="2">
        <f t="shared" ref="T23:Z23" si="42">+SUM(T20:T22)+T19</f>
        <v>47.033000000000143</v>
      </c>
      <c r="U23" s="2">
        <f t="shared" si="42"/>
        <v>-411.70300000000054</v>
      </c>
      <c r="V23" s="2">
        <f t="shared" si="42"/>
        <v>-4530.5830000000005</v>
      </c>
      <c r="W23" s="2">
        <f t="shared" si="42"/>
        <v>-187</v>
      </c>
      <c r="X23" s="2">
        <f t="shared" si="42"/>
        <v>2078</v>
      </c>
      <c r="Y23" s="2">
        <f t="shared" si="42"/>
        <v>2102</v>
      </c>
      <c r="Z23" s="2">
        <f t="shared" si="42"/>
        <v>2585.5149999999994</v>
      </c>
      <c r="AA23" s="2">
        <f t="shared" ref="AA23" si="43">+SUM(AA20:AA22)+AA19</f>
        <v>3324.2976699999981</v>
      </c>
      <c r="AB23" s="2">
        <f t="shared" ref="AB23" si="44">+SUM(AB20:AB22)+AB19</f>
        <v>4203.3620078599952</v>
      </c>
      <c r="AC23" s="2">
        <f t="shared" ref="AC23" si="45">+SUM(AC20:AC22)+AC19</f>
        <v>5246.4383878178751</v>
      </c>
      <c r="AD23" s="2">
        <f t="shared" ref="AD23" si="46">+SUM(AD20:AD22)+AD19</f>
        <v>6481.0664260332687</v>
      </c>
      <c r="AE23" s="2">
        <f t="shared" ref="AE23" si="47">+SUM(AE20:AE22)+AE19</f>
        <v>7939.1898176255936</v>
      </c>
      <c r="AF23" s="2">
        <f t="shared" ref="AF23" si="48">+SUM(AF20:AF22)+AF19</f>
        <v>9657.8426230149053</v>
      </c>
      <c r="AG23" s="2">
        <f t="shared" ref="AG23" si="49">+SUM(AG20:AG22)+AG19</f>
        <v>11679.940933630136</v>
      </c>
      <c r="AH23" s="2">
        <f t="shared" ref="AH23" si="50">+SUM(AH20:AH22)+AH19</f>
        <v>14055.195957049758</v>
      </c>
      <c r="AI23" s="2">
        <f t="shared" ref="AI23:AO23" si="51">+SUM(AI20:AI22)+AI19</f>
        <v>16841.166990126803</v>
      </c>
      <c r="AJ23" s="2">
        <f t="shared" si="51"/>
        <v>20104.475543591172</v>
      </c>
      <c r="AK23" s="2">
        <f t="shared" si="51"/>
        <v>23922.205098197686</v>
      </c>
      <c r="AL23" s="2">
        <f t="shared" si="51"/>
        <v>28383.514674176684</v>
      </c>
      <c r="AM23" s="2">
        <f t="shared" si="51"/>
        <v>33591.498655569369</v>
      </c>
      <c r="AN23" s="2">
        <f t="shared" si="51"/>
        <v>39665.330212994064</v>
      </c>
      <c r="AO23" s="2">
        <f t="shared" si="51"/>
        <v>46742.731309121722</v>
      </c>
    </row>
    <row r="24" spans="2:136" x14ac:dyDescent="0.2">
      <c r="B24" s="2" t="s">
        <v>21</v>
      </c>
      <c r="C24" s="2">
        <v>6.3090000000000002</v>
      </c>
      <c r="D24" s="2">
        <v>11.233000000000001</v>
      </c>
      <c r="E24" s="2">
        <v>16.565000000000001</v>
      </c>
      <c r="F24" s="2">
        <v>17.72</v>
      </c>
      <c r="G24" s="2">
        <v>4</v>
      </c>
      <c r="H24" s="2">
        <v>4</v>
      </c>
      <c r="I24" s="2">
        <v>56</v>
      </c>
      <c r="J24" s="2">
        <v>25</v>
      </c>
      <c r="K24" s="2">
        <v>13</v>
      </c>
      <c r="L24" s="2">
        <v>26</v>
      </c>
      <c r="M24" s="2">
        <v>-2695</v>
      </c>
      <c r="N24" s="2">
        <v>-34</v>
      </c>
      <c r="O24" s="2">
        <v>29</v>
      </c>
      <c r="P24" s="2">
        <v>126</v>
      </c>
      <c r="T24" s="2">
        <v>63.893000000000001</v>
      </c>
      <c r="U24" s="2">
        <v>262.63600000000002</v>
      </c>
      <c r="V24" s="2">
        <v>-97.221999999999994</v>
      </c>
      <c r="W24" s="2">
        <v>52</v>
      </c>
      <c r="X24" s="2">
        <v>96</v>
      </c>
      <c r="Y24" s="2">
        <v>-2690</v>
      </c>
      <c r="Z24" s="2">
        <f>+Z23*0.2</f>
        <v>517.10299999999995</v>
      </c>
      <c r="AA24" s="2">
        <f t="shared" ref="AA24:AO24" si="52">+AA23*0.2</f>
        <v>664.85953399999971</v>
      </c>
      <c r="AB24" s="2">
        <f t="shared" si="52"/>
        <v>840.6724015719991</v>
      </c>
      <c r="AC24" s="2">
        <f t="shared" si="52"/>
        <v>1049.287677563575</v>
      </c>
      <c r="AD24" s="2">
        <f t="shared" si="52"/>
        <v>1296.2132852066538</v>
      </c>
      <c r="AE24" s="2">
        <f t="shared" si="52"/>
        <v>1587.8379635251188</v>
      </c>
      <c r="AF24" s="2">
        <f t="shared" si="52"/>
        <v>1931.5685246029811</v>
      </c>
      <c r="AG24" s="2">
        <f t="shared" si="52"/>
        <v>2335.9881867260274</v>
      </c>
      <c r="AH24" s="2">
        <f t="shared" si="52"/>
        <v>2811.0391914099519</v>
      </c>
      <c r="AI24" s="2">
        <f t="shared" si="52"/>
        <v>3368.2333980253607</v>
      </c>
      <c r="AJ24" s="2">
        <f t="shared" si="52"/>
        <v>4020.8951087182345</v>
      </c>
      <c r="AK24" s="2">
        <f t="shared" si="52"/>
        <v>4784.4410196395374</v>
      </c>
      <c r="AL24" s="2">
        <f t="shared" si="52"/>
        <v>5676.7029348353371</v>
      </c>
      <c r="AM24" s="2">
        <f t="shared" si="52"/>
        <v>6718.2997311138743</v>
      </c>
      <c r="AN24" s="2">
        <f t="shared" si="52"/>
        <v>7933.0660425988135</v>
      </c>
      <c r="AO24" s="2">
        <f t="shared" si="52"/>
        <v>9348.5462618243455</v>
      </c>
    </row>
    <row r="25" spans="2:136" x14ac:dyDescent="0.2">
      <c r="B25" s="2" t="s">
        <v>22</v>
      </c>
      <c r="C25" s="2">
        <f t="shared" ref="C25:P25" si="53">+C23-C24</f>
        <v>-1060.229</v>
      </c>
      <c r="D25" s="2">
        <f t="shared" si="53"/>
        <v>-67.655000000000129</v>
      </c>
      <c r="E25" s="2">
        <f t="shared" si="53"/>
        <v>833.42799999999977</v>
      </c>
      <c r="F25" s="2">
        <f t="shared" si="53"/>
        <v>55.270999999999987</v>
      </c>
      <c r="G25" s="2">
        <f t="shared" si="53"/>
        <v>-10.769000000000306</v>
      </c>
      <c r="H25" s="2">
        <f t="shared" si="53"/>
        <v>468</v>
      </c>
      <c r="I25" s="2">
        <f t="shared" si="53"/>
        <v>1214</v>
      </c>
      <c r="J25" s="2">
        <f t="shared" si="53"/>
        <v>319</v>
      </c>
      <c r="K25" s="2">
        <f t="shared" si="53"/>
        <v>117</v>
      </c>
      <c r="L25" s="2">
        <f t="shared" si="53"/>
        <v>650</v>
      </c>
      <c r="M25" s="2">
        <f t="shared" si="53"/>
        <v>4374</v>
      </c>
      <c r="N25" s="2">
        <f t="shared" si="53"/>
        <v>-349</v>
      </c>
      <c r="O25" s="2">
        <f t="shared" si="53"/>
        <v>264</v>
      </c>
      <c r="P25" s="2">
        <f t="shared" si="53"/>
        <v>555</v>
      </c>
      <c r="T25" s="2">
        <f t="shared" ref="T25:Z25" si="54">+T23-T24</f>
        <v>-16.859999999999857</v>
      </c>
      <c r="U25" s="2">
        <f t="shared" si="54"/>
        <v>-674.33900000000062</v>
      </c>
      <c r="V25" s="2">
        <f t="shared" si="54"/>
        <v>-4433.3610000000008</v>
      </c>
      <c r="W25" s="2">
        <f t="shared" si="54"/>
        <v>-239</v>
      </c>
      <c r="X25" s="2">
        <f t="shared" si="54"/>
        <v>1982</v>
      </c>
      <c r="Y25" s="2">
        <f t="shared" si="54"/>
        <v>4792</v>
      </c>
      <c r="Z25" s="2">
        <f t="shared" si="54"/>
        <v>2068.4119999999994</v>
      </c>
      <c r="AA25" s="2">
        <f t="shared" ref="AA25:AO25" si="55">+AA23-AA24</f>
        <v>2659.4381359999984</v>
      </c>
      <c r="AB25" s="2">
        <f t="shared" si="55"/>
        <v>3362.689606287996</v>
      </c>
      <c r="AC25" s="2">
        <f t="shared" si="55"/>
        <v>4197.1507102543001</v>
      </c>
      <c r="AD25" s="2">
        <f t="shared" si="55"/>
        <v>5184.8531408266153</v>
      </c>
      <c r="AE25" s="2">
        <f t="shared" si="55"/>
        <v>6351.3518541004751</v>
      </c>
      <c r="AF25" s="2">
        <f t="shared" si="55"/>
        <v>7726.2740984119246</v>
      </c>
      <c r="AG25" s="2">
        <f t="shared" si="55"/>
        <v>9343.9527469041095</v>
      </c>
      <c r="AH25" s="2">
        <f t="shared" si="55"/>
        <v>11244.156765639807</v>
      </c>
      <c r="AI25" s="2">
        <f t="shared" si="55"/>
        <v>13472.933592101443</v>
      </c>
      <c r="AJ25" s="2">
        <f t="shared" si="55"/>
        <v>16083.580434872938</v>
      </c>
      <c r="AK25" s="2">
        <f t="shared" si="55"/>
        <v>19137.76407855815</v>
      </c>
      <c r="AL25" s="2">
        <f t="shared" si="55"/>
        <v>22706.811739341349</v>
      </c>
      <c r="AM25" s="2">
        <f t="shared" si="55"/>
        <v>26873.198924455493</v>
      </c>
      <c r="AN25" s="2">
        <f t="shared" si="55"/>
        <v>31732.26417039525</v>
      </c>
      <c r="AO25" s="2">
        <f t="shared" si="55"/>
        <v>37394.185047297375</v>
      </c>
      <c r="AP25" s="2">
        <f t="shared" ref="AP25:BU25" si="56">+AO25*(1+$AR$30)</f>
        <v>37020.243196824398</v>
      </c>
      <c r="AQ25" s="2">
        <f t="shared" si="56"/>
        <v>36650.040764856152</v>
      </c>
      <c r="AR25" s="2">
        <f t="shared" si="56"/>
        <v>36283.540357207588</v>
      </c>
      <c r="AS25" s="2">
        <f t="shared" si="56"/>
        <v>35920.704953635512</v>
      </c>
      <c r="AT25" s="2">
        <f t="shared" si="56"/>
        <v>35561.497904099153</v>
      </c>
      <c r="AU25" s="2">
        <f t="shared" si="56"/>
        <v>35205.882925058162</v>
      </c>
      <c r="AV25" s="2">
        <f t="shared" si="56"/>
        <v>34853.824095807577</v>
      </c>
      <c r="AW25" s="2">
        <f t="shared" si="56"/>
        <v>34505.285854849499</v>
      </c>
      <c r="AX25" s="2">
        <f t="shared" si="56"/>
        <v>34160.232996301005</v>
      </c>
      <c r="AY25" s="2">
        <f t="shared" si="56"/>
        <v>33818.630666337995</v>
      </c>
      <c r="AZ25" s="2">
        <f t="shared" si="56"/>
        <v>33480.444359674613</v>
      </c>
      <c r="BA25" s="2">
        <f t="shared" si="56"/>
        <v>33145.639916077867</v>
      </c>
      <c r="BB25" s="2">
        <f t="shared" si="56"/>
        <v>32814.183516917088</v>
      </c>
      <c r="BC25" s="2">
        <f t="shared" si="56"/>
        <v>32486.041681747916</v>
      </c>
      <c r="BD25" s="2">
        <f t="shared" si="56"/>
        <v>32161.181264930437</v>
      </c>
      <c r="BE25" s="2">
        <f t="shared" si="56"/>
        <v>31839.569452281132</v>
      </c>
      <c r="BF25" s="2">
        <f t="shared" si="56"/>
        <v>31521.173757758319</v>
      </c>
      <c r="BG25" s="2">
        <f t="shared" si="56"/>
        <v>31205.962020180734</v>
      </c>
      <c r="BH25" s="2">
        <f t="shared" si="56"/>
        <v>30893.902399978928</v>
      </c>
      <c r="BI25" s="2">
        <f t="shared" si="56"/>
        <v>30584.96337597914</v>
      </c>
      <c r="BJ25" s="2">
        <f t="shared" si="56"/>
        <v>30279.11374221935</v>
      </c>
      <c r="BK25" s="2">
        <f t="shared" si="56"/>
        <v>29976.322604797155</v>
      </c>
      <c r="BL25" s="2">
        <f t="shared" si="56"/>
        <v>29676.559378749182</v>
      </c>
      <c r="BM25" s="2">
        <f t="shared" si="56"/>
        <v>29379.79378496169</v>
      </c>
      <c r="BN25" s="2">
        <f t="shared" si="56"/>
        <v>29085.995847112074</v>
      </c>
      <c r="BO25" s="2">
        <f t="shared" si="56"/>
        <v>28795.135888640951</v>
      </c>
      <c r="BP25" s="2">
        <f t="shared" si="56"/>
        <v>28507.184529754541</v>
      </c>
      <c r="BQ25" s="2">
        <f t="shared" si="56"/>
        <v>28222.112684456995</v>
      </c>
      <c r="BR25" s="2">
        <f t="shared" si="56"/>
        <v>27939.891557612424</v>
      </c>
      <c r="BS25" s="2">
        <f t="shared" si="56"/>
        <v>27660.492642036301</v>
      </c>
      <c r="BT25" s="2">
        <f t="shared" si="56"/>
        <v>27383.887715615936</v>
      </c>
      <c r="BU25" s="2">
        <f t="shared" si="56"/>
        <v>27110.048838459777</v>
      </c>
      <c r="BV25" s="2">
        <f t="shared" ref="BV25:DA25" si="57">+BU25*(1+$AR$30)</f>
        <v>26838.948350075181</v>
      </c>
      <c r="BW25" s="2">
        <f t="shared" si="57"/>
        <v>26570.558866574429</v>
      </c>
      <c r="BX25" s="2">
        <f t="shared" si="57"/>
        <v>26304.853277908685</v>
      </c>
      <c r="BY25" s="2">
        <f t="shared" si="57"/>
        <v>26041.804745129597</v>
      </c>
      <c r="BZ25" s="2">
        <f t="shared" si="57"/>
        <v>25781.386697678299</v>
      </c>
      <c r="CA25" s="2">
        <f t="shared" si="57"/>
        <v>25523.572830701516</v>
      </c>
      <c r="CB25" s="2">
        <f t="shared" si="57"/>
        <v>25268.3371023945</v>
      </c>
      <c r="CC25" s="2">
        <f t="shared" si="57"/>
        <v>25015.653731370556</v>
      </c>
      <c r="CD25" s="2">
        <f t="shared" si="57"/>
        <v>24765.49719405685</v>
      </c>
      <c r="CE25" s="2">
        <f t="shared" si="57"/>
        <v>24517.84222211628</v>
      </c>
      <c r="CF25" s="2">
        <f t="shared" si="57"/>
        <v>24272.663799895116</v>
      </c>
      <c r="CG25" s="2">
        <f t="shared" si="57"/>
        <v>24029.937161896163</v>
      </c>
      <c r="CH25" s="2">
        <f t="shared" si="57"/>
        <v>23789.6377902772</v>
      </c>
      <c r="CI25" s="2">
        <f t="shared" si="57"/>
        <v>23551.741412374427</v>
      </c>
      <c r="CJ25" s="2">
        <f t="shared" si="57"/>
        <v>23316.223998250684</v>
      </c>
      <c r="CK25" s="2">
        <f t="shared" si="57"/>
        <v>23083.061758268177</v>
      </c>
      <c r="CL25" s="2">
        <f t="shared" si="57"/>
        <v>22852.231140685493</v>
      </c>
      <c r="CM25" s="2">
        <f t="shared" si="57"/>
        <v>22623.708829278639</v>
      </c>
      <c r="CN25" s="2">
        <f t="shared" si="57"/>
        <v>22397.471740985853</v>
      </c>
      <c r="CO25" s="2">
        <f t="shared" si="57"/>
        <v>22173.497023575994</v>
      </c>
      <c r="CP25" s="2">
        <f t="shared" si="57"/>
        <v>21951.762053340233</v>
      </c>
      <c r="CQ25" s="2">
        <f t="shared" si="57"/>
        <v>21732.24443280683</v>
      </c>
      <c r="CR25" s="2">
        <f t="shared" si="57"/>
        <v>21514.921988478764</v>
      </c>
      <c r="CS25" s="2">
        <f t="shared" si="57"/>
        <v>21299.772768593975</v>
      </c>
      <c r="CT25" s="2">
        <f t="shared" si="57"/>
        <v>21086.775040908036</v>
      </c>
      <c r="CU25" s="2">
        <f t="shared" si="57"/>
        <v>20875.907290498955</v>
      </c>
      <c r="CV25" s="2">
        <f t="shared" si="57"/>
        <v>20667.148217593967</v>
      </c>
      <c r="CW25" s="2">
        <f t="shared" si="57"/>
        <v>20460.476735418026</v>
      </c>
      <c r="CX25" s="2">
        <f t="shared" si="57"/>
        <v>20255.871968063846</v>
      </c>
      <c r="CY25" s="2">
        <f t="shared" si="57"/>
        <v>20053.313248383209</v>
      </c>
      <c r="CZ25" s="2">
        <f t="shared" si="57"/>
        <v>19852.780115899375</v>
      </c>
      <c r="DA25" s="2">
        <f t="shared" si="57"/>
        <v>19654.252314740381</v>
      </c>
      <c r="DB25" s="2">
        <f t="shared" ref="DB25:EF25" si="58">+DA25*(1+$AR$30)</f>
        <v>19457.709791592977</v>
      </c>
      <c r="DC25" s="2">
        <f t="shared" si="58"/>
        <v>19263.132693677046</v>
      </c>
      <c r="DD25" s="2">
        <f t="shared" si="58"/>
        <v>19070.501366740275</v>
      </c>
      <c r="DE25" s="2">
        <f t="shared" si="58"/>
        <v>18879.79635307287</v>
      </c>
      <c r="DF25" s="2">
        <f t="shared" si="58"/>
        <v>18690.998389542143</v>
      </c>
      <c r="DG25" s="2">
        <f t="shared" si="58"/>
        <v>18504.088405646722</v>
      </c>
      <c r="DH25" s="2">
        <f t="shared" si="58"/>
        <v>18319.047521590255</v>
      </c>
      <c r="DI25" s="2">
        <f t="shared" si="58"/>
        <v>18135.857046374353</v>
      </c>
      <c r="DJ25" s="2">
        <f t="shared" si="58"/>
        <v>17954.498475910608</v>
      </c>
      <c r="DK25" s="2">
        <f t="shared" si="58"/>
        <v>17774.9534911515</v>
      </c>
      <c r="DL25" s="2">
        <f t="shared" si="58"/>
        <v>17597.203956239984</v>
      </c>
      <c r="DM25" s="2">
        <f t="shared" si="58"/>
        <v>17421.231916677585</v>
      </c>
      <c r="DN25" s="2">
        <f t="shared" si="58"/>
        <v>17247.019597510811</v>
      </c>
      <c r="DO25" s="2">
        <f t="shared" si="58"/>
        <v>17074.549401535704</v>
      </c>
      <c r="DP25" s="2">
        <f t="shared" si="58"/>
        <v>16903.803907520345</v>
      </c>
      <c r="DQ25" s="2">
        <f t="shared" si="58"/>
        <v>16734.765868445142</v>
      </c>
      <c r="DR25" s="2">
        <f t="shared" si="58"/>
        <v>16567.41820976069</v>
      </c>
      <c r="DS25" s="2">
        <f t="shared" si="58"/>
        <v>16401.744027663084</v>
      </c>
      <c r="DT25" s="2">
        <f t="shared" si="58"/>
        <v>16237.726587386453</v>
      </c>
      <c r="DU25" s="2">
        <f t="shared" si="58"/>
        <v>16075.349321512587</v>
      </c>
      <c r="DV25" s="2">
        <f t="shared" si="58"/>
        <v>15914.595828297461</v>
      </c>
      <c r="DW25" s="2">
        <f t="shared" si="58"/>
        <v>15755.449870014487</v>
      </c>
      <c r="DX25" s="2">
        <f t="shared" si="58"/>
        <v>15597.895371314342</v>
      </c>
      <c r="DY25" s="2">
        <f t="shared" si="58"/>
        <v>15441.916417601198</v>
      </c>
      <c r="DZ25" s="2">
        <f t="shared" si="58"/>
        <v>15287.497253425186</v>
      </c>
      <c r="EA25" s="2">
        <f t="shared" si="58"/>
        <v>15134.622280890935</v>
      </c>
      <c r="EB25" s="2">
        <f t="shared" si="58"/>
        <v>14983.276058082025</v>
      </c>
      <c r="EC25" s="2">
        <f t="shared" si="58"/>
        <v>14833.443297501204</v>
      </c>
      <c r="ED25" s="2">
        <f t="shared" si="58"/>
        <v>14685.108864526192</v>
      </c>
      <c r="EE25" s="2">
        <f t="shared" si="58"/>
        <v>14538.257775880929</v>
      </c>
      <c r="EF25" s="2">
        <f t="shared" si="58"/>
        <v>14392.875198122119</v>
      </c>
    </row>
    <row r="26" spans="2:136" x14ac:dyDescent="0.2">
      <c r="B26" s="2" t="s">
        <v>23</v>
      </c>
      <c r="C26" s="9">
        <f t="shared" ref="C26:P26" si="59">+C25/C27</f>
        <v>-1.7642255724174654</v>
      </c>
      <c r="D26" s="9">
        <f t="shared" si="59"/>
        <v>-0.110594550944112</v>
      </c>
      <c r="E26" s="9">
        <f t="shared" si="59"/>
        <v>1.2221857237548315</v>
      </c>
      <c r="F26" s="9">
        <f t="shared" si="59"/>
        <v>8.1173923771031095E-2</v>
      </c>
      <c r="G26" s="9">
        <f t="shared" si="59"/>
        <v>-1.6950673210412971E-2</v>
      </c>
      <c r="H26" s="9">
        <f t="shared" si="59"/>
        <v>0.68421052631578949</v>
      </c>
      <c r="I26" s="9">
        <f t="shared" si="59"/>
        <v>1.7852941176470589</v>
      </c>
      <c r="J26" s="9">
        <f t="shared" si="59"/>
        <v>0.47470238095238093</v>
      </c>
      <c r="K26" s="9">
        <f t="shared" si="59"/>
        <v>0.17462686567164179</v>
      </c>
      <c r="L26" s="9">
        <f t="shared" si="59"/>
        <v>0.97744360902255634</v>
      </c>
      <c r="M26" s="9">
        <f t="shared" si="59"/>
        <v>6.627272727272727</v>
      </c>
      <c r="N26" s="9">
        <f t="shared" si="59"/>
        <v>-0.54531249999999998</v>
      </c>
      <c r="O26" s="9">
        <f t="shared" si="59"/>
        <v>0.40366972477064222</v>
      </c>
      <c r="P26" s="9">
        <f t="shared" si="59"/>
        <v>0.85516178736517723</v>
      </c>
      <c r="T26" s="9">
        <f t="shared" ref="T26:AO26" si="60">+T25/T27</f>
        <v>-6.5775613866716043E-2</v>
      </c>
      <c r="U26" s="9">
        <f t="shared" si="60"/>
        <v>-2.5880770352630553</v>
      </c>
      <c r="V26" s="9">
        <f t="shared" si="60"/>
        <v>-15.590498763903886</v>
      </c>
      <c r="W26" s="9">
        <f t="shared" si="60"/>
        <v>-0.38798701298701299</v>
      </c>
      <c r="X26" s="9">
        <f t="shared" si="60"/>
        <v>2.914705882352941</v>
      </c>
      <c r="Y26" s="9">
        <f t="shared" si="60"/>
        <v>7.238670694864048</v>
      </c>
      <c r="Z26" s="9">
        <f t="shared" si="60"/>
        <v>3.1244894259818721</v>
      </c>
      <c r="AA26" s="9">
        <f t="shared" si="60"/>
        <v>4.0172781510573996</v>
      </c>
      <c r="AB26" s="9">
        <f t="shared" si="60"/>
        <v>5.0795915502839817</v>
      </c>
      <c r="AC26" s="9">
        <f t="shared" si="60"/>
        <v>6.3401068130729605</v>
      </c>
      <c r="AD26" s="9">
        <f t="shared" si="60"/>
        <v>7.8321044423362771</v>
      </c>
      <c r="AE26" s="9">
        <f t="shared" si="60"/>
        <v>9.5941870907862157</v>
      </c>
      <c r="AF26" s="9">
        <f t="shared" si="60"/>
        <v>11.671108909987801</v>
      </c>
      <c r="AG26" s="9">
        <f t="shared" si="60"/>
        <v>14.114732246078715</v>
      </c>
      <c r="AH26" s="9">
        <f t="shared" si="60"/>
        <v>16.985131065921159</v>
      </c>
      <c r="AI26" s="9">
        <f t="shared" si="60"/>
        <v>20.351863432177407</v>
      </c>
      <c r="AJ26" s="9">
        <f t="shared" si="60"/>
        <v>24.295438723373017</v>
      </c>
      <c r="AK26" s="9">
        <f t="shared" si="60"/>
        <v>28.909009182112008</v>
      </c>
      <c r="AL26" s="9">
        <f t="shared" si="60"/>
        <v>34.300319847947655</v>
      </c>
      <c r="AM26" s="9">
        <f t="shared" si="60"/>
        <v>40.593956079237905</v>
      </c>
      <c r="AN26" s="9">
        <f t="shared" si="60"/>
        <v>47.933933792137843</v>
      </c>
      <c r="AO26" s="9">
        <f t="shared" si="60"/>
        <v>56.486684361476399</v>
      </c>
    </row>
    <row r="27" spans="2:136" x14ac:dyDescent="0.2">
      <c r="B27" s="2" t="s">
        <v>4</v>
      </c>
      <c r="C27" s="2">
        <v>600.96</v>
      </c>
      <c r="D27" s="2">
        <v>611.73900000000003</v>
      </c>
      <c r="E27" s="2">
        <v>681.91600000000005</v>
      </c>
      <c r="F27" s="2">
        <v>680.89599999999996</v>
      </c>
      <c r="G27" s="2">
        <v>635.31399999999996</v>
      </c>
      <c r="H27" s="2">
        <v>684</v>
      </c>
      <c r="I27" s="2">
        <v>680</v>
      </c>
      <c r="J27" s="2">
        <v>672</v>
      </c>
      <c r="K27" s="2">
        <v>670</v>
      </c>
      <c r="L27" s="2">
        <v>665</v>
      </c>
      <c r="M27" s="2">
        <v>660</v>
      </c>
      <c r="N27" s="2">
        <v>640</v>
      </c>
      <c r="O27" s="2">
        <v>654</v>
      </c>
      <c r="P27" s="2">
        <v>649</v>
      </c>
      <c r="T27" s="2">
        <v>256.32600000000002</v>
      </c>
      <c r="U27" s="2">
        <v>260.55599999999998</v>
      </c>
      <c r="V27" s="2">
        <v>284.363</v>
      </c>
      <c r="W27" s="2">
        <v>616</v>
      </c>
      <c r="X27" s="2">
        <v>680</v>
      </c>
      <c r="Y27" s="2">
        <v>662</v>
      </c>
      <c r="Z27" s="2">
        <v>662</v>
      </c>
      <c r="AA27" s="2">
        <v>662</v>
      </c>
      <c r="AB27" s="2">
        <v>662</v>
      </c>
      <c r="AC27" s="2">
        <v>662</v>
      </c>
      <c r="AD27" s="2">
        <v>662</v>
      </c>
      <c r="AE27" s="2">
        <v>662</v>
      </c>
      <c r="AF27" s="2">
        <v>662</v>
      </c>
      <c r="AG27" s="2">
        <v>662</v>
      </c>
      <c r="AH27" s="2">
        <v>662</v>
      </c>
      <c r="AI27" s="2">
        <v>662</v>
      </c>
      <c r="AJ27" s="2">
        <v>662</v>
      </c>
      <c r="AK27" s="2">
        <v>662</v>
      </c>
      <c r="AL27" s="2">
        <v>662</v>
      </c>
      <c r="AM27" s="2">
        <v>662</v>
      </c>
      <c r="AN27" s="2">
        <v>662</v>
      </c>
      <c r="AO27" s="2">
        <v>662</v>
      </c>
    </row>
    <row r="29" spans="2:136" s="10" customFormat="1" x14ac:dyDescent="0.2">
      <c r="B29" s="10" t="s">
        <v>24</v>
      </c>
      <c r="C29" s="10">
        <f t="shared" ref="C29:O29" si="61">+C13/C11</f>
        <v>0.71304017426285549</v>
      </c>
      <c r="D29" s="10">
        <f t="shared" si="61"/>
        <v>0.77948780553566654</v>
      </c>
      <c r="E29" s="10">
        <f t="shared" si="61"/>
        <v>0.86074213652079712</v>
      </c>
      <c r="F29" s="10">
        <f t="shared" si="61"/>
        <v>0.80726290892287933</v>
      </c>
      <c r="G29" s="10">
        <f t="shared" si="61"/>
        <v>0.75968314117819358</v>
      </c>
      <c r="H29" s="10">
        <f t="shared" si="61"/>
        <v>0.81463878326996197</v>
      </c>
      <c r="I29" s="10">
        <f t="shared" si="61"/>
        <v>0.86095700416088761</v>
      </c>
      <c r="J29" s="10">
        <f t="shared" si="61"/>
        <v>0.81861198738170349</v>
      </c>
      <c r="K29" s="10">
        <f t="shared" si="61"/>
        <v>0.76457645764576454</v>
      </c>
      <c r="L29" s="10">
        <f t="shared" si="61"/>
        <v>0.82608695652173914</v>
      </c>
      <c r="M29" s="10">
        <f t="shared" si="61"/>
        <v>0.8648807771563144</v>
      </c>
      <c r="N29" s="10">
        <f t="shared" si="61"/>
        <v>0.82687105500450853</v>
      </c>
      <c r="O29" s="10">
        <f t="shared" si="61"/>
        <v>0.77591036414565828</v>
      </c>
      <c r="P29" s="10">
        <f t="shared" ref="P29" si="62">+P13/P11</f>
        <v>0.81586608442503639</v>
      </c>
      <c r="T29" s="10">
        <f t="shared" ref="T29:Y29" si="63">+T13/T11</f>
        <v>0.76340757149878757</v>
      </c>
      <c r="U29" s="10">
        <f t="shared" si="63"/>
        <v>0.75103985462533696</v>
      </c>
      <c r="V29" s="10">
        <f t="shared" si="63"/>
        <v>0.74067779902841724</v>
      </c>
      <c r="W29" s="10">
        <f t="shared" si="63"/>
        <v>0.80707610146862485</v>
      </c>
      <c r="X29" s="10">
        <f t="shared" si="63"/>
        <v>0.82152637218716518</v>
      </c>
      <c r="Y29" s="10">
        <f t="shared" si="63"/>
        <v>0.82827467984269432</v>
      </c>
      <c r="Z29" s="10">
        <f t="shared" ref="Z29:AO29" si="64">+Z13/Z11</f>
        <v>0.9</v>
      </c>
      <c r="AA29" s="10">
        <f t="shared" si="64"/>
        <v>0.9</v>
      </c>
      <c r="AB29" s="10">
        <f t="shared" si="64"/>
        <v>0.89999999999999991</v>
      </c>
      <c r="AC29" s="10">
        <f t="shared" si="64"/>
        <v>0.9</v>
      </c>
      <c r="AD29" s="10">
        <f t="shared" si="64"/>
        <v>0.9</v>
      </c>
      <c r="AE29" s="10">
        <f t="shared" si="64"/>
        <v>0.9</v>
      </c>
      <c r="AF29" s="10">
        <f t="shared" si="64"/>
        <v>0.9</v>
      </c>
      <c r="AG29" s="10">
        <f t="shared" si="64"/>
        <v>0.9</v>
      </c>
      <c r="AH29" s="10">
        <f t="shared" si="64"/>
        <v>0.89999999999999991</v>
      </c>
      <c r="AI29" s="10">
        <f t="shared" si="64"/>
        <v>0.9</v>
      </c>
      <c r="AJ29" s="10">
        <f t="shared" si="64"/>
        <v>0.90000000000000013</v>
      </c>
      <c r="AK29" s="10">
        <f t="shared" si="64"/>
        <v>0.9</v>
      </c>
      <c r="AL29" s="10">
        <f t="shared" si="64"/>
        <v>0.9</v>
      </c>
      <c r="AM29" s="10">
        <f t="shared" si="64"/>
        <v>0.89999999999999991</v>
      </c>
      <c r="AN29" s="10">
        <f t="shared" si="64"/>
        <v>0.9</v>
      </c>
      <c r="AO29" s="10">
        <f t="shared" si="64"/>
        <v>0.9</v>
      </c>
      <c r="AQ29" s="10" t="s">
        <v>59</v>
      </c>
      <c r="AR29" s="10">
        <v>0.01</v>
      </c>
    </row>
    <row r="30" spans="2:136" s="10" customFormat="1" x14ac:dyDescent="0.2">
      <c r="B30" s="10" t="s">
        <v>25</v>
      </c>
      <c r="C30" s="10">
        <f t="shared" ref="C30:O30" si="65">+C19/C13</f>
        <v>-0.52965192490445434</v>
      </c>
      <c r="D30" s="10">
        <f t="shared" si="65"/>
        <v>-4.872935300724765E-2</v>
      </c>
      <c r="E30" s="10">
        <f t="shared" si="65"/>
        <v>0.44214612545512316</v>
      </c>
      <c r="F30" s="10">
        <f t="shared" si="65"/>
        <v>6.1717136192936277E-2</v>
      </c>
      <c r="G30" s="10">
        <f t="shared" si="65"/>
        <v>-4.1995474189448143E-3</v>
      </c>
      <c r="H30" s="10">
        <f t="shared" si="65"/>
        <v>0.26721120186697783</v>
      </c>
      <c r="I30" s="10">
        <f t="shared" si="65"/>
        <v>0.48449456302859445</v>
      </c>
      <c r="J30" s="10">
        <f t="shared" si="65"/>
        <v>0.15093127809890816</v>
      </c>
      <c r="K30" s="10">
        <f t="shared" si="65"/>
        <v>-3.5971223021582736E-3</v>
      </c>
      <c r="L30" s="10">
        <f t="shared" si="65"/>
        <v>0.25487329434697858</v>
      </c>
      <c r="M30" s="10">
        <f t="shared" si="65"/>
        <v>0.50918992511912864</v>
      </c>
      <c r="N30" s="10">
        <f t="shared" si="65"/>
        <v>-0.27044711014176664</v>
      </c>
      <c r="O30" s="10">
        <f t="shared" si="65"/>
        <v>6.0770156438026475E-2</v>
      </c>
      <c r="P30" s="10">
        <f t="shared" ref="P30" si="66">+P19/P13</f>
        <v>0.22167707404103479</v>
      </c>
      <c r="T30" s="10">
        <f t="shared" ref="T30:Y30" si="67">+T19/T13</f>
        <v>6.7232123353586455E-3</v>
      </c>
      <c r="U30" s="10">
        <f t="shared" si="67"/>
        <v>-0.13897292435478051</v>
      </c>
      <c r="V30" s="10">
        <f t="shared" si="67"/>
        <v>-1.3743310271897407</v>
      </c>
      <c r="W30" s="10">
        <f t="shared" si="67"/>
        <v>0.11207609594706369</v>
      </c>
      <c r="X30" s="10">
        <f t="shared" si="67"/>
        <v>0.27405797101449275</v>
      </c>
      <c r="Y30" s="10">
        <f t="shared" si="67"/>
        <v>0.18480642804967129</v>
      </c>
      <c r="Z30" s="10">
        <f t="shared" ref="Z30:AO30" si="68">+Z19/Z13</f>
        <v>0.27596246917044315</v>
      </c>
      <c r="AA30" s="10">
        <f t="shared" si="68"/>
        <v>0.30080405021836659</v>
      </c>
      <c r="AB30" s="10">
        <f t="shared" si="68"/>
        <v>0.32436918681892829</v>
      </c>
      <c r="AC30" s="10">
        <f t="shared" si="68"/>
        <v>0.3467253298606488</v>
      </c>
      <c r="AD30" s="10">
        <f t="shared" si="68"/>
        <v>0.36793626999231299</v>
      </c>
      <c r="AE30" s="10">
        <f t="shared" si="68"/>
        <v>0.38806234105206172</v>
      </c>
      <c r="AF30" s="10">
        <f t="shared" si="68"/>
        <v>0.407160611955936</v>
      </c>
      <c r="AG30" s="10">
        <f t="shared" si="68"/>
        <v>0.42528506771172492</v>
      </c>
      <c r="AH30" s="10">
        <f t="shared" si="68"/>
        <v>0.44248678018504084</v>
      </c>
      <c r="AI30" s="10">
        <f t="shared" si="68"/>
        <v>0.45881406920789586</v>
      </c>
      <c r="AJ30" s="10">
        <f t="shared" si="68"/>
        <v>0.47431265458558836</v>
      </c>
      <c r="AK30" s="10">
        <f t="shared" si="68"/>
        <v>0.48902579952526554</v>
      </c>
      <c r="AL30" s="10">
        <f t="shared" si="68"/>
        <v>0.50299444597900644</v>
      </c>
      <c r="AM30" s="10">
        <f t="shared" si="68"/>
        <v>0.51625734236554077</v>
      </c>
      <c r="AN30" s="10">
        <f t="shared" si="68"/>
        <v>0.52885116410769406</v>
      </c>
      <c r="AO30" s="10">
        <f t="shared" si="68"/>
        <v>0.54081062739720265</v>
      </c>
      <c r="AQ30" s="10" t="s">
        <v>83</v>
      </c>
      <c r="AR30" s="10">
        <v>-0.01</v>
      </c>
    </row>
    <row r="31" spans="2:136" s="10" customFormat="1" x14ac:dyDescent="0.2">
      <c r="B31" s="10" t="s">
        <v>26</v>
      </c>
      <c r="C31" s="10">
        <f t="shared" ref="C31:O31" si="69">+C25/C13</f>
        <v>-1.6764607753379472</v>
      </c>
      <c r="D31" s="10">
        <f t="shared" si="69"/>
        <v>-6.5004818552435881E-2</v>
      </c>
      <c r="E31" s="10">
        <f t="shared" si="69"/>
        <v>0.4327580727906401</v>
      </c>
      <c r="F31" s="10">
        <f t="shared" si="69"/>
        <v>4.4685641753275357E-2</v>
      </c>
      <c r="G31" s="10">
        <f t="shared" si="69"/>
        <v>-9.3944591098078772E-3</v>
      </c>
      <c r="H31" s="10">
        <f t="shared" si="69"/>
        <v>0.27304550758459745</v>
      </c>
      <c r="I31" s="10">
        <f t="shared" si="69"/>
        <v>0.48892468787756743</v>
      </c>
      <c r="J31" s="10">
        <f t="shared" si="69"/>
        <v>0.20488118175979447</v>
      </c>
      <c r="K31" s="10">
        <f t="shared" si="69"/>
        <v>8.4172661870503596E-2</v>
      </c>
      <c r="L31" s="10">
        <f t="shared" si="69"/>
        <v>0.31676413255360625</v>
      </c>
      <c r="M31" s="10">
        <f t="shared" si="69"/>
        <v>1.4887678692988429</v>
      </c>
      <c r="N31" s="10">
        <f t="shared" si="69"/>
        <v>-0.19029443838604143</v>
      </c>
      <c r="O31" s="10">
        <f t="shared" si="69"/>
        <v>0.1588447653429603</v>
      </c>
      <c r="P31" s="10">
        <f t="shared" ref="P31" si="70">+P25/P13</f>
        <v>0.24754683318465656</v>
      </c>
      <c r="T31" s="10">
        <f t="shared" ref="T31:Y31" si="71">+T25/T13</f>
        <v>-6.0474477152232687E-3</v>
      </c>
      <c r="U31" s="10">
        <f t="shared" si="71"/>
        <v>-0.1868530970155666</v>
      </c>
      <c r="V31" s="10">
        <f t="shared" si="71"/>
        <v>-1.7718156774335105</v>
      </c>
      <c r="W31" s="10">
        <f t="shared" si="71"/>
        <v>-4.9421009098428455E-2</v>
      </c>
      <c r="X31" s="10">
        <f t="shared" si="71"/>
        <v>0.28724637681159421</v>
      </c>
      <c r="Y31" s="10">
        <f t="shared" si="71"/>
        <v>0.58339420501582662</v>
      </c>
      <c r="Z31" s="10">
        <f t="shared" ref="Z31:AO31" si="72">+Z25/Z13</f>
        <v>0.20151917923596765</v>
      </c>
      <c r="AA31" s="10">
        <f t="shared" si="72"/>
        <v>0.22530529002991148</v>
      </c>
      <c r="AB31" s="10">
        <f t="shared" si="72"/>
        <v>0.24772534265119259</v>
      </c>
      <c r="AC31" s="10">
        <f t="shared" si="72"/>
        <v>0.26886878209483167</v>
      </c>
      <c r="AD31" s="10">
        <f t="shared" si="72"/>
        <v>0.28881811900521676</v>
      </c>
      <c r="AE31" s="10">
        <f t="shared" si="72"/>
        <v>0.30764956672287375</v>
      </c>
      <c r="AF31" s="10">
        <f t="shared" si="72"/>
        <v>0.32543361166475521</v>
      </c>
      <c r="AG31" s="10">
        <f t="shared" si="72"/>
        <v>0.34223552459835777</v>
      </c>
      <c r="AH31" s="10">
        <f t="shared" si="72"/>
        <v>0.35811581947478455</v>
      </c>
      <c r="AI31" s="10">
        <f t="shared" si="72"/>
        <v>0.37313066569896908</v>
      </c>
      <c r="AJ31" s="10">
        <f t="shared" si="72"/>
        <v>0.38733225902346552</v>
      </c>
      <c r="AK31" s="10">
        <f t="shared" si="72"/>
        <v>0.40076915564384952</v>
      </c>
      <c r="AL31" s="10">
        <f t="shared" si="72"/>
        <v>0.41348657353867291</v>
      </c>
      <c r="AM31" s="10">
        <f t="shared" si="72"/>
        <v>0.42552666462615174</v>
      </c>
      <c r="AN31" s="10">
        <f t="shared" si="72"/>
        <v>0.43692876089548427</v>
      </c>
      <c r="AO31" s="10">
        <f t="shared" si="72"/>
        <v>0.44772959730601675</v>
      </c>
      <c r="AQ31" s="10" t="s">
        <v>84</v>
      </c>
      <c r="AR31" s="10">
        <v>0.09</v>
      </c>
    </row>
    <row r="32" spans="2:136" s="10" customFormat="1" x14ac:dyDescent="0.2">
      <c r="B32" s="10" t="s">
        <v>27</v>
      </c>
      <c r="C32" s="10">
        <f t="shared" ref="C32:O32" si="73">+C24/C23</f>
        <v>-5.9862228632154239E-3</v>
      </c>
      <c r="D32" s="10">
        <f t="shared" si="73"/>
        <v>-0.19908900783382324</v>
      </c>
      <c r="E32" s="10">
        <f t="shared" si="73"/>
        <v>1.9488395786788838E-2</v>
      </c>
      <c r="F32" s="10">
        <f t="shared" si="73"/>
        <v>0.24276965653299726</v>
      </c>
      <c r="G32" s="10">
        <f t="shared" si="73"/>
        <v>-0.59092923622393545</v>
      </c>
      <c r="H32" s="10">
        <f t="shared" si="73"/>
        <v>8.4745762711864406E-3</v>
      </c>
      <c r="I32" s="10">
        <f t="shared" si="73"/>
        <v>4.4094488188976377E-2</v>
      </c>
      <c r="J32" s="10">
        <f t="shared" si="73"/>
        <v>7.2674418604651167E-2</v>
      </c>
      <c r="K32" s="10">
        <f t="shared" si="73"/>
        <v>0.1</v>
      </c>
      <c r="L32" s="10">
        <f t="shared" si="73"/>
        <v>3.8461538461538464E-2</v>
      </c>
      <c r="M32" s="10">
        <f t="shared" si="73"/>
        <v>-1.6051220964860036</v>
      </c>
      <c r="N32" s="10">
        <f t="shared" si="73"/>
        <v>8.877284595300261E-2</v>
      </c>
      <c r="O32" s="10">
        <f t="shared" si="73"/>
        <v>9.8976109215017066E-2</v>
      </c>
      <c r="P32" s="10">
        <f t="shared" ref="P32" si="74">+P24/P23</f>
        <v>0.18502202643171806</v>
      </c>
      <c r="T32" s="10">
        <f t="shared" ref="T32:Y32" si="75">+T24/T23</f>
        <v>1.3584717113516001</v>
      </c>
      <c r="U32" s="10">
        <f t="shared" si="75"/>
        <v>-0.63792588346453549</v>
      </c>
      <c r="V32" s="10">
        <f t="shared" si="75"/>
        <v>2.145904842710088E-2</v>
      </c>
      <c r="W32" s="10">
        <f t="shared" si="75"/>
        <v>-0.27807486631016043</v>
      </c>
      <c r="X32" s="10">
        <f t="shared" si="75"/>
        <v>4.6198267564966311E-2</v>
      </c>
      <c r="Y32" s="10">
        <f t="shared" si="75"/>
        <v>-1.2797335870599429</v>
      </c>
      <c r="Z32" s="10">
        <f t="shared" ref="Z32:AO32" si="76">+Z24/Z23</f>
        <v>0.20000000000000004</v>
      </c>
      <c r="AA32" s="10">
        <f t="shared" si="76"/>
        <v>0.20000000000000004</v>
      </c>
      <c r="AB32" s="10">
        <f t="shared" si="76"/>
        <v>0.2</v>
      </c>
      <c r="AC32" s="10">
        <f t="shared" si="76"/>
        <v>0.2</v>
      </c>
      <c r="AD32" s="10">
        <f t="shared" si="76"/>
        <v>0.2</v>
      </c>
      <c r="AE32" s="10">
        <f t="shared" si="76"/>
        <v>0.2</v>
      </c>
      <c r="AF32" s="10">
        <f t="shared" si="76"/>
        <v>0.2</v>
      </c>
      <c r="AG32" s="10">
        <f t="shared" si="76"/>
        <v>0.2</v>
      </c>
      <c r="AH32" s="10">
        <f t="shared" si="76"/>
        <v>0.2</v>
      </c>
      <c r="AI32" s="10">
        <f t="shared" si="76"/>
        <v>0.2</v>
      </c>
      <c r="AJ32" s="10">
        <f t="shared" si="76"/>
        <v>0.2</v>
      </c>
      <c r="AK32" s="10">
        <f t="shared" si="76"/>
        <v>0.2</v>
      </c>
      <c r="AL32" s="10">
        <f t="shared" si="76"/>
        <v>0.2</v>
      </c>
      <c r="AM32" s="10">
        <f t="shared" si="76"/>
        <v>0.2</v>
      </c>
      <c r="AN32" s="10">
        <f t="shared" si="76"/>
        <v>0.2</v>
      </c>
      <c r="AO32" s="10">
        <f t="shared" si="76"/>
        <v>0.2</v>
      </c>
      <c r="AQ32" s="10" t="s">
        <v>85</v>
      </c>
      <c r="AR32" s="2">
        <f>NPV(AR31,Z25:EF25)</f>
        <v>176495.32295277182</v>
      </c>
    </row>
    <row r="33" spans="2:44" s="10" customFormat="1" x14ac:dyDescent="0.2">
      <c r="AQ33" s="10" t="s">
        <v>45</v>
      </c>
      <c r="AR33" s="2">
        <f>+Y36</f>
        <v>9101</v>
      </c>
    </row>
    <row r="34" spans="2:44" s="11" customFormat="1" x14ac:dyDescent="0.2">
      <c r="B34" s="11" t="s">
        <v>28</v>
      </c>
      <c r="G34" s="11">
        <f t="shared" ref="G34:R34" si="77">+G11/C11-1</f>
        <v>0.7012918632235019</v>
      </c>
      <c r="H34" s="11">
        <f t="shared" si="77"/>
        <v>0.57579860934274829</v>
      </c>
      <c r="I34" s="11">
        <f t="shared" si="77"/>
        <v>0.28897772088716001</v>
      </c>
      <c r="J34" s="11">
        <f t="shared" si="77"/>
        <v>0.24135554459090103</v>
      </c>
      <c r="K34" s="11">
        <f t="shared" si="77"/>
        <v>0.20482167247539174</v>
      </c>
      <c r="L34" s="11">
        <f t="shared" si="77"/>
        <v>0.18060836501901134</v>
      </c>
      <c r="M34" s="11">
        <f t="shared" si="77"/>
        <v>0.17787794729542306</v>
      </c>
      <c r="N34" s="11">
        <f t="shared" si="77"/>
        <v>0.16614090431125139</v>
      </c>
      <c r="O34" s="11">
        <f t="shared" si="77"/>
        <v>0.17821782178217815</v>
      </c>
      <c r="P34" s="11">
        <f>+P11/L11-1</f>
        <v>0.106280193236715</v>
      </c>
      <c r="Q34" s="11">
        <f t="shared" si="77"/>
        <v>0.18999999999999995</v>
      </c>
      <c r="R34" s="11">
        <f t="shared" si="77"/>
        <v>0.18999999999999995</v>
      </c>
      <c r="U34" s="11">
        <f>+U11/T11-1</f>
        <v>0.31578826309527552</v>
      </c>
      <c r="V34" s="11">
        <f>+V11/U11-1</f>
        <v>-0.29697586321929037</v>
      </c>
      <c r="W34" s="11">
        <f>+W11/V11-1</f>
        <v>0.77372617776513453</v>
      </c>
      <c r="X34" s="11">
        <f>+X11/W11-1</f>
        <v>0.401702269692924</v>
      </c>
      <c r="Y34" s="11">
        <f>+Y11/X11-1</f>
        <v>0.18073580188117644</v>
      </c>
      <c r="Z34" s="11">
        <f t="shared" ref="Z34:AO34" si="78">+Z11/Y11-1</f>
        <v>0.14999999999999991</v>
      </c>
      <c r="AA34" s="11">
        <f t="shared" si="78"/>
        <v>0.14999999999999991</v>
      </c>
      <c r="AB34" s="11">
        <f t="shared" si="78"/>
        <v>0.14999999999999991</v>
      </c>
      <c r="AC34" s="11">
        <f t="shared" si="78"/>
        <v>0.14999999999999991</v>
      </c>
      <c r="AD34" s="11">
        <f t="shared" si="78"/>
        <v>0.14999999999999991</v>
      </c>
      <c r="AE34" s="11">
        <f t="shared" si="78"/>
        <v>0.14999999999999991</v>
      </c>
      <c r="AF34" s="11">
        <f t="shared" si="78"/>
        <v>0.14999999999999991</v>
      </c>
      <c r="AG34" s="11">
        <f t="shared" si="78"/>
        <v>0.14999999999999991</v>
      </c>
      <c r="AH34" s="11">
        <f t="shared" si="78"/>
        <v>0.14999999999999991</v>
      </c>
      <c r="AI34" s="11">
        <f t="shared" si="78"/>
        <v>0.14999999999999991</v>
      </c>
      <c r="AJ34" s="11">
        <f t="shared" si="78"/>
        <v>0.14999999999999991</v>
      </c>
      <c r="AK34" s="11">
        <f t="shared" si="78"/>
        <v>0.14999999999999991</v>
      </c>
      <c r="AL34" s="11">
        <f t="shared" si="78"/>
        <v>0.14999999999999991</v>
      </c>
      <c r="AM34" s="11">
        <f t="shared" si="78"/>
        <v>0.14999999999999991</v>
      </c>
      <c r="AN34" s="11">
        <f t="shared" si="78"/>
        <v>0.14999999999999991</v>
      </c>
      <c r="AO34" s="11">
        <f t="shared" si="78"/>
        <v>0.14999999999999991</v>
      </c>
      <c r="AQ34" s="10" t="s">
        <v>86</v>
      </c>
      <c r="AR34" s="2">
        <f>+AR32+AR33</f>
        <v>185596.32295277182</v>
      </c>
    </row>
    <row r="35" spans="2:44" x14ac:dyDescent="0.2">
      <c r="T35" s="10"/>
      <c r="U35" s="10"/>
      <c r="V35" s="10"/>
      <c r="W35" s="10"/>
      <c r="X35" s="10"/>
      <c r="Y35" s="10"/>
      <c r="AQ35" s="2" t="s">
        <v>87</v>
      </c>
      <c r="AR35" s="2">
        <f>+AR34/Main!L6</f>
        <v>292.34958042833227</v>
      </c>
    </row>
    <row r="36" spans="2:44" x14ac:dyDescent="0.2">
      <c r="B36" s="2" t="s">
        <v>45</v>
      </c>
      <c r="J36" s="2">
        <f t="shared" ref="J36:P36" si="79">+J37-J50</f>
        <v>7635</v>
      </c>
      <c r="K36" s="2">
        <f t="shared" si="79"/>
        <v>8606</v>
      </c>
      <c r="L36" s="2">
        <f t="shared" si="79"/>
        <v>8351</v>
      </c>
      <c r="M36" s="2">
        <f t="shared" si="79"/>
        <v>8972</v>
      </c>
      <c r="N36" s="2">
        <f t="shared" si="79"/>
        <v>8080</v>
      </c>
      <c r="O36" s="2">
        <f t="shared" si="79"/>
        <v>9101</v>
      </c>
      <c r="P36" s="2">
        <f t="shared" si="79"/>
        <v>9258</v>
      </c>
      <c r="Y36" s="2">
        <f>+O36</f>
        <v>9101</v>
      </c>
      <c r="Z36" s="2">
        <f t="shared" ref="Z36:AI36" si="80">+Y36+Z25</f>
        <v>11169.412</v>
      </c>
      <c r="AA36" s="2">
        <f t="shared" si="80"/>
        <v>13828.850135999999</v>
      </c>
      <c r="AB36" s="2">
        <f t="shared" si="80"/>
        <v>17191.539742287994</v>
      </c>
      <c r="AC36" s="2">
        <f t="shared" si="80"/>
        <v>21388.690452542294</v>
      </c>
      <c r="AD36" s="2">
        <f t="shared" si="80"/>
        <v>26573.543593368908</v>
      </c>
      <c r="AE36" s="2">
        <f t="shared" si="80"/>
        <v>32924.895447469382</v>
      </c>
      <c r="AF36" s="2">
        <f t="shared" si="80"/>
        <v>40651.169545881305</v>
      </c>
      <c r="AG36" s="2">
        <f t="shared" si="80"/>
        <v>49995.122292785411</v>
      </c>
      <c r="AH36" s="2">
        <f t="shared" si="80"/>
        <v>61239.279058425222</v>
      </c>
      <c r="AI36" s="2">
        <f t="shared" si="80"/>
        <v>74712.212650526664</v>
      </c>
      <c r="AJ36" s="2">
        <f t="shared" ref="AJ36:AN36" si="81">+AI36+AJ25</f>
        <v>90795.793085399608</v>
      </c>
      <c r="AK36" s="2">
        <f t="shared" si="81"/>
        <v>109933.55716395775</v>
      </c>
      <c r="AL36" s="2">
        <f t="shared" si="81"/>
        <v>132640.3689032991</v>
      </c>
      <c r="AM36" s="2">
        <f t="shared" si="81"/>
        <v>159513.5678277546</v>
      </c>
      <c r="AN36" s="2">
        <f t="shared" si="81"/>
        <v>191245.83199814984</v>
      </c>
      <c r="AO36" s="2">
        <f>+AN36+AO25</f>
        <v>228640.0170454472</v>
      </c>
      <c r="AQ36" s="2" t="s">
        <v>88</v>
      </c>
      <c r="AR36" s="2">
        <f>+Main!L5</f>
        <v>134</v>
      </c>
    </row>
    <row r="37" spans="2:44" x14ac:dyDescent="0.2">
      <c r="B37" s="2" t="s">
        <v>6</v>
      </c>
      <c r="J37" s="2">
        <f>7378+2244</f>
        <v>9622</v>
      </c>
      <c r="K37" s="2">
        <f>8166+2428</f>
        <v>10594</v>
      </c>
      <c r="L37" s="2">
        <f>7905+2435</f>
        <v>10340</v>
      </c>
      <c r="M37" s="2">
        <f>8175+2787</f>
        <v>10962</v>
      </c>
      <c r="N37" s="2">
        <f>6874+3197</f>
        <v>10071</v>
      </c>
      <c r="O37" s="2">
        <f>7829+3264</f>
        <v>11093</v>
      </c>
      <c r="P37" s="2">
        <f>7882+3369</f>
        <v>11251</v>
      </c>
      <c r="AR37" s="10">
        <f>+AR35/AR36-1</f>
        <v>1.1817132867785989</v>
      </c>
    </row>
    <row r="38" spans="2:44" x14ac:dyDescent="0.2">
      <c r="B38" s="2" t="s">
        <v>46</v>
      </c>
      <c r="J38" s="2">
        <v>4783</v>
      </c>
      <c r="K38" s="2">
        <v>7760</v>
      </c>
      <c r="L38" s="2">
        <v>9144</v>
      </c>
      <c r="M38" s="2">
        <v>5986</v>
      </c>
      <c r="N38" s="2">
        <v>5869</v>
      </c>
      <c r="O38" s="2">
        <v>8737</v>
      </c>
      <c r="P38" s="2">
        <v>10342</v>
      </c>
    </row>
    <row r="39" spans="2:44" x14ac:dyDescent="0.2">
      <c r="B39" s="2" t="s">
        <v>47</v>
      </c>
      <c r="J39" s="2">
        <v>456</v>
      </c>
      <c r="K39" s="2">
        <v>515</v>
      </c>
      <c r="L39" s="2">
        <v>568</v>
      </c>
      <c r="M39" s="2">
        <v>575</v>
      </c>
      <c r="N39" s="2">
        <v>569</v>
      </c>
      <c r="O39" s="2">
        <v>563</v>
      </c>
      <c r="P39" s="2">
        <v>659</v>
      </c>
    </row>
    <row r="40" spans="2:44" x14ac:dyDescent="0.2">
      <c r="B40" s="2" t="s">
        <v>48</v>
      </c>
      <c r="J40" s="2">
        <f t="shared" ref="J40:O40" si="82">+SUM(J37:J39)</f>
        <v>14861</v>
      </c>
      <c r="K40" s="2">
        <f t="shared" si="82"/>
        <v>18869</v>
      </c>
      <c r="L40" s="2">
        <f t="shared" si="82"/>
        <v>20052</v>
      </c>
      <c r="M40" s="2">
        <f t="shared" si="82"/>
        <v>17523</v>
      </c>
      <c r="N40" s="2">
        <f t="shared" si="82"/>
        <v>16509</v>
      </c>
      <c r="O40" s="2">
        <f t="shared" si="82"/>
        <v>20393</v>
      </c>
      <c r="P40" s="2">
        <f t="shared" ref="P40" si="83">+SUM(P37:P39)</f>
        <v>22252</v>
      </c>
    </row>
    <row r="41" spans="2:44" x14ac:dyDescent="0.2">
      <c r="B41" s="2" t="s">
        <v>78</v>
      </c>
      <c r="J41" s="2">
        <v>0</v>
      </c>
      <c r="K41" s="2">
        <v>122</v>
      </c>
      <c r="L41" s="2">
        <v>132</v>
      </c>
      <c r="M41" s="2">
        <v>147</v>
      </c>
      <c r="N41" s="2">
        <v>0</v>
      </c>
      <c r="O41" s="2">
        <v>0</v>
      </c>
      <c r="P41" s="2">
        <v>0</v>
      </c>
    </row>
    <row r="42" spans="2:44" x14ac:dyDescent="0.2">
      <c r="B42" s="2" t="s">
        <v>75</v>
      </c>
      <c r="J42" s="2">
        <v>0</v>
      </c>
      <c r="K42" s="2">
        <v>138</v>
      </c>
      <c r="L42" s="2">
        <v>131</v>
      </c>
      <c r="M42" s="2">
        <v>123</v>
      </c>
      <c r="N42" s="2">
        <v>0</v>
      </c>
      <c r="O42" s="2">
        <v>0</v>
      </c>
      <c r="P42" s="2">
        <v>0</v>
      </c>
    </row>
    <row r="43" spans="2:44" x14ac:dyDescent="0.2">
      <c r="B43" s="2" t="s">
        <v>49</v>
      </c>
      <c r="J43" s="2">
        <v>16</v>
      </c>
      <c r="K43" s="2">
        <v>0</v>
      </c>
      <c r="L43" s="2">
        <v>0</v>
      </c>
      <c r="M43" s="2">
        <v>2775</v>
      </c>
      <c r="N43" s="2">
        <v>2881</v>
      </c>
      <c r="O43" s="2">
        <v>2886</v>
      </c>
      <c r="P43" s="2">
        <v>2825</v>
      </c>
    </row>
    <row r="44" spans="2:44" x14ac:dyDescent="0.2">
      <c r="B44" s="2" t="s">
        <v>50</v>
      </c>
      <c r="J44" s="2">
        <v>684</v>
      </c>
      <c r="K44" s="2">
        <v>682</v>
      </c>
      <c r="L44" s="2">
        <v>679</v>
      </c>
      <c r="M44" s="2">
        <v>676</v>
      </c>
      <c r="N44" s="2">
        <v>792</v>
      </c>
      <c r="O44" s="2">
        <v>786</v>
      </c>
      <c r="P44" s="2">
        <v>783</v>
      </c>
    </row>
    <row r="45" spans="2:44" x14ac:dyDescent="0.2">
      <c r="B45" s="2" t="s">
        <v>51</v>
      </c>
      <c r="J45" s="2">
        <v>477</v>
      </c>
      <c r="K45" s="2">
        <v>207</v>
      </c>
      <c r="L45" s="2">
        <v>194</v>
      </c>
      <c r="M45" s="2">
        <v>195</v>
      </c>
      <c r="N45" s="2">
        <v>463</v>
      </c>
      <c r="O45" s="2">
        <v>472</v>
      </c>
      <c r="P45" s="2">
        <v>460</v>
      </c>
    </row>
    <row r="46" spans="2:44" s="6" customFormat="1" x14ac:dyDescent="0.2">
      <c r="B46" s="6" t="s">
        <v>52</v>
      </c>
      <c r="J46" s="6">
        <f t="shared" ref="J46:K46" si="84">+SUM(J41:J45)+J40</f>
        <v>16038</v>
      </c>
      <c r="K46" s="6">
        <f t="shared" si="84"/>
        <v>20018</v>
      </c>
      <c r="L46" s="6">
        <f>+SUM(L41:L45)+L40</f>
        <v>21188</v>
      </c>
      <c r="M46" s="6">
        <f t="shared" ref="M46:O46" si="85">+SUM(M41:M45)+M40</f>
        <v>21439</v>
      </c>
      <c r="N46" s="6">
        <f t="shared" si="85"/>
        <v>20645</v>
      </c>
      <c r="O46" s="6">
        <f t="shared" si="85"/>
        <v>24537</v>
      </c>
      <c r="P46" s="6">
        <f t="shared" ref="P46" si="86">+SUM(P41:P45)+P40</f>
        <v>26320</v>
      </c>
    </row>
    <row r="47" spans="2:44" x14ac:dyDescent="0.2">
      <c r="B47" s="2" t="s">
        <v>54</v>
      </c>
      <c r="J47" s="2">
        <v>2013</v>
      </c>
      <c r="K47" s="2">
        <v>2119</v>
      </c>
      <c r="L47" s="2">
        <v>2033</v>
      </c>
      <c r="M47" s="2">
        <v>2205</v>
      </c>
      <c r="N47" s="2">
        <v>2654</v>
      </c>
      <c r="O47" s="2">
        <v>2968</v>
      </c>
      <c r="P47" s="2">
        <v>2865</v>
      </c>
    </row>
    <row r="48" spans="2:44" x14ac:dyDescent="0.2">
      <c r="B48" s="2" t="s">
        <v>53</v>
      </c>
      <c r="J48" s="2">
        <v>4783</v>
      </c>
      <c r="K48" s="2">
        <f>161+7760</f>
        <v>7921</v>
      </c>
      <c r="L48" s="2">
        <f>100+9144</f>
        <v>9244</v>
      </c>
      <c r="M48" s="2">
        <f>163+5986</f>
        <v>6149</v>
      </c>
      <c r="N48" s="2">
        <v>5869</v>
      </c>
      <c r="O48" s="2">
        <v>8737</v>
      </c>
      <c r="P48" s="2">
        <v>10342</v>
      </c>
    </row>
    <row r="49" spans="2:16" x14ac:dyDescent="0.2">
      <c r="B49" s="2" t="s">
        <v>55</v>
      </c>
      <c r="J49" s="2">
        <v>1182</v>
      </c>
      <c r="K49" s="2">
        <v>2172</v>
      </c>
      <c r="L49" s="2">
        <v>2347</v>
      </c>
      <c r="M49" s="2">
        <v>1467</v>
      </c>
      <c r="N49" s="2">
        <v>1427</v>
      </c>
      <c r="O49" s="2">
        <v>2434</v>
      </c>
      <c r="P49" s="2">
        <v>2621</v>
      </c>
    </row>
    <row r="50" spans="2:16" x14ac:dyDescent="0.2">
      <c r="B50" s="2" t="s">
        <v>7</v>
      </c>
      <c r="J50" s="2">
        <v>1987</v>
      </c>
      <c r="K50" s="2">
        <v>1988</v>
      </c>
      <c r="L50" s="2">
        <v>1989</v>
      </c>
      <c r="M50" s="2">
        <v>1990</v>
      </c>
      <c r="N50" s="2">
        <v>1991</v>
      </c>
      <c r="O50" s="2">
        <v>1992</v>
      </c>
      <c r="P50" s="2">
        <v>1993</v>
      </c>
    </row>
    <row r="51" spans="2:16" x14ac:dyDescent="0.2">
      <c r="B51" s="2" t="s">
        <v>75</v>
      </c>
      <c r="J51" s="2">
        <v>295</v>
      </c>
      <c r="K51" s="2">
        <v>300</v>
      </c>
      <c r="L51" s="2">
        <v>285</v>
      </c>
      <c r="M51" s="2">
        <v>265</v>
      </c>
      <c r="N51" s="2">
        <v>252</v>
      </c>
      <c r="O51" s="2">
        <v>0</v>
      </c>
      <c r="P51" s="2">
        <v>0</v>
      </c>
    </row>
    <row r="52" spans="2:16" x14ac:dyDescent="0.2">
      <c r="B52" s="2" t="s">
        <v>51</v>
      </c>
      <c r="J52" s="2">
        <v>218</v>
      </c>
      <c r="K52" s="2">
        <v>227</v>
      </c>
      <c r="L52" s="2">
        <v>231</v>
      </c>
      <c r="M52" s="2">
        <v>240</v>
      </c>
      <c r="N52" s="2">
        <v>287</v>
      </c>
      <c r="O52" s="2">
        <v>510</v>
      </c>
      <c r="P52" s="2">
        <v>497</v>
      </c>
    </row>
    <row r="53" spans="2:16" s="6" customFormat="1" x14ac:dyDescent="0.2">
      <c r="B53" s="6" t="s">
        <v>56</v>
      </c>
      <c r="J53" s="6">
        <f t="shared" ref="J53:O53" si="87">+SUM(J47:J52)</f>
        <v>10478</v>
      </c>
      <c r="K53" s="6">
        <f t="shared" si="87"/>
        <v>14727</v>
      </c>
      <c r="L53" s="6">
        <f t="shared" si="87"/>
        <v>16129</v>
      </c>
      <c r="M53" s="6">
        <f t="shared" si="87"/>
        <v>12316</v>
      </c>
      <c r="N53" s="6">
        <f t="shared" si="87"/>
        <v>12480</v>
      </c>
      <c r="O53" s="6">
        <f t="shared" si="87"/>
        <v>16641</v>
      </c>
      <c r="P53" s="6">
        <f t="shared" ref="P53" si="88">+SUM(P47:P52)</f>
        <v>18318</v>
      </c>
    </row>
    <row r="54" spans="2:16" x14ac:dyDescent="0.2">
      <c r="B54" s="2" t="s">
        <v>57</v>
      </c>
      <c r="J54" s="2">
        <f t="shared" ref="J54:O54" si="89">+J46-J53</f>
        <v>5560</v>
      </c>
      <c r="K54" s="2">
        <f t="shared" si="89"/>
        <v>5291</v>
      </c>
      <c r="L54" s="2">
        <f t="shared" si="89"/>
        <v>5059</v>
      </c>
      <c r="M54" s="2">
        <f t="shared" si="89"/>
        <v>9123</v>
      </c>
      <c r="N54" s="2">
        <f t="shared" si="89"/>
        <v>8165</v>
      </c>
      <c r="O54" s="2">
        <f t="shared" si="89"/>
        <v>7896</v>
      </c>
      <c r="P54" s="2">
        <f>+P46-P53</f>
        <v>8002</v>
      </c>
    </row>
    <row r="55" spans="2:16" x14ac:dyDescent="0.2">
      <c r="B55" s="2" t="s">
        <v>58</v>
      </c>
      <c r="J55" s="2">
        <f t="shared" ref="J55:O55" si="90">+J54+J53</f>
        <v>16038</v>
      </c>
      <c r="K55" s="2">
        <f t="shared" si="90"/>
        <v>20018</v>
      </c>
      <c r="L55" s="2">
        <f t="shared" si="90"/>
        <v>21188</v>
      </c>
      <c r="M55" s="2">
        <f t="shared" si="90"/>
        <v>21439</v>
      </c>
      <c r="N55" s="2">
        <f t="shared" si="90"/>
        <v>20645</v>
      </c>
      <c r="O55" s="2">
        <f t="shared" si="90"/>
        <v>24537</v>
      </c>
      <c r="P55" s="2">
        <f t="shared" ref="P55" si="91">+P54+P53</f>
        <v>26320</v>
      </c>
    </row>
    <row r="57" spans="2:16" x14ac:dyDescent="0.2">
      <c r="B57" s="2" t="s">
        <v>96</v>
      </c>
      <c r="N57" s="2">
        <f>+SUM(K25:N25)</f>
        <v>4792</v>
      </c>
      <c r="O57" s="2">
        <f>+SUM(L25:O25)</f>
        <v>4939</v>
      </c>
      <c r="P57" s="2">
        <f>+SUM(M25:P25)</f>
        <v>4844</v>
      </c>
    </row>
    <row r="58" spans="2:16" s="10" customFormat="1" x14ac:dyDescent="0.2">
      <c r="B58" s="10" t="s">
        <v>59</v>
      </c>
      <c r="K58" s="10">
        <f t="shared" ref="K58:P58" si="92">+$N$57/(K38+K39+K41+K42+K43+K45)</f>
        <v>0.54815831617478838</v>
      </c>
      <c r="L58" s="10">
        <f t="shared" si="92"/>
        <v>0.47123610974530433</v>
      </c>
      <c r="M58" s="10">
        <f t="shared" si="92"/>
        <v>0.48892970105091316</v>
      </c>
      <c r="N58" s="10">
        <f t="shared" si="92"/>
        <v>0.48987937027192802</v>
      </c>
      <c r="O58" s="10">
        <f t="shared" si="92"/>
        <v>0.37857481434665824</v>
      </c>
      <c r="P58" s="10">
        <f t="shared" si="92"/>
        <v>0.33543329133417332</v>
      </c>
    </row>
    <row r="60" spans="2:16" x14ac:dyDescent="0.2">
      <c r="B60" s="2" t="s">
        <v>60</v>
      </c>
      <c r="K60" s="2">
        <f t="shared" ref="K60:P60" si="93">+K25</f>
        <v>117</v>
      </c>
      <c r="L60" s="2">
        <f t="shared" si="93"/>
        <v>650</v>
      </c>
      <c r="M60" s="2">
        <f t="shared" si="93"/>
        <v>4374</v>
      </c>
      <c r="N60" s="2">
        <f t="shared" si="93"/>
        <v>-349</v>
      </c>
      <c r="O60" s="2">
        <f t="shared" si="93"/>
        <v>264</v>
      </c>
      <c r="P60" s="2">
        <f t="shared" si="93"/>
        <v>555</v>
      </c>
    </row>
    <row r="61" spans="2:16" x14ac:dyDescent="0.2">
      <c r="B61" s="2" t="s">
        <v>61</v>
      </c>
      <c r="K61" s="2">
        <v>117</v>
      </c>
      <c r="L61" s="2">
        <f>767-K61</f>
        <v>650</v>
      </c>
      <c r="M61" s="2">
        <f>5141-SUM(K61:L61)</f>
        <v>4374</v>
      </c>
      <c r="N61" s="2">
        <f>4792-SUM(K61:M61)</f>
        <v>-349</v>
      </c>
      <c r="O61" s="2">
        <v>264</v>
      </c>
      <c r="P61" s="2">
        <f>819-O61</f>
        <v>555</v>
      </c>
    </row>
    <row r="62" spans="2:16" x14ac:dyDescent="0.2">
      <c r="B62" s="2" t="s">
        <v>62</v>
      </c>
      <c r="K62" s="2">
        <v>11</v>
      </c>
      <c r="L62" s="2">
        <f>20-K62</f>
        <v>9</v>
      </c>
      <c r="M62" s="2">
        <f>28-SUM(K62:L62)</f>
        <v>8</v>
      </c>
      <c r="N62" s="2">
        <f>44-SUM(K62:M62)</f>
        <v>16</v>
      </c>
      <c r="O62" s="2">
        <v>14</v>
      </c>
      <c r="P62" s="2">
        <f>28-O62</f>
        <v>14</v>
      </c>
    </row>
    <row r="63" spans="2:16" x14ac:dyDescent="0.2">
      <c r="B63" s="2" t="s">
        <v>63</v>
      </c>
      <c r="K63" s="2">
        <v>240</v>
      </c>
      <c r="L63" s="2">
        <f>544-K63</f>
        <v>304</v>
      </c>
      <c r="M63" s="2">
        <f>830-SUM(K63:L63)</f>
        <v>286</v>
      </c>
      <c r="N63" s="2">
        <f>1120-SUM(K63:M63)</f>
        <v>290</v>
      </c>
      <c r="O63" s="2">
        <v>295</v>
      </c>
      <c r="P63" s="2">
        <f>677-O63</f>
        <v>382</v>
      </c>
    </row>
    <row r="64" spans="2:16" x14ac:dyDescent="0.2">
      <c r="B64" s="2" t="s">
        <v>49</v>
      </c>
      <c r="K64" s="2">
        <v>0</v>
      </c>
      <c r="L64" s="2">
        <v>0</v>
      </c>
      <c r="M64" s="2">
        <f>-2759-SUM(K64:L64)</f>
        <v>-2759</v>
      </c>
      <c r="N64" s="2">
        <f>-2875-SUM(K64:M64)</f>
        <v>-116</v>
      </c>
      <c r="O64" s="2">
        <v>0</v>
      </c>
      <c r="P64" s="2">
        <f>65-O64</f>
        <v>65</v>
      </c>
    </row>
    <row r="65" spans="2:16" x14ac:dyDescent="0.2">
      <c r="B65" s="2" t="s">
        <v>72</v>
      </c>
      <c r="K65" s="2">
        <v>-17</v>
      </c>
      <c r="L65" s="2">
        <f>-46-K65</f>
        <v>-29</v>
      </c>
      <c r="M65" s="2">
        <f>-49-SUM(K65:L65)</f>
        <v>-3</v>
      </c>
      <c r="N65" s="2">
        <f>0-SUM(K65:M65)</f>
        <v>49</v>
      </c>
      <c r="O65" s="2">
        <v>0</v>
      </c>
      <c r="P65" s="2">
        <v>0</v>
      </c>
    </row>
    <row r="66" spans="2:16" x14ac:dyDescent="0.2">
      <c r="B66" s="2" t="s">
        <v>51</v>
      </c>
      <c r="K66" s="2">
        <v>29</v>
      </c>
      <c r="L66" s="2">
        <f>29-K66</f>
        <v>0</v>
      </c>
      <c r="M66" s="2">
        <f>40-SUM(K66:L66)</f>
        <v>11</v>
      </c>
      <c r="N66" s="2">
        <f>83-SUM(K66:M66)</f>
        <v>43</v>
      </c>
      <c r="O66" s="2">
        <v>4</v>
      </c>
      <c r="P66" s="2">
        <f>61-O66</f>
        <v>57</v>
      </c>
    </row>
    <row r="67" spans="2:16" x14ac:dyDescent="0.2">
      <c r="B67" s="4" t="s">
        <v>47</v>
      </c>
      <c r="K67" s="2">
        <v>-31</v>
      </c>
      <c r="L67" s="2">
        <f>-83-K67</f>
        <v>-52</v>
      </c>
      <c r="M67" s="2">
        <f>-56-SUM(K67:L67)</f>
        <v>27</v>
      </c>
      <c r="N67" s="2">
        <f>-102-SUM(K67:M67)</f>
        <v>-46</v>
      </c>
      <c r="O67" s="2">
        <v>13</v>
      </c>
      <c r="P67" s="2">
        <f>-105-O67</f>
        <v>-118</v>
      </c>
    </row>
    <row r="68" spans="2:16" x14ac:dyDescent="0.2">
      <c r="B68" s="4" t="s">
        <v>75</v>
      </c>
      <c r="K68" s="2">
        <v>-1</v>
      </c>
      <c r="L68" s="2">
        <f>7-K68</f>
        <v>8</v>
      </c>
      <c r="M68" s="2">
        <f>14-SUM(K68:L68)</f>
        <v>7</v>
      </c>
      <c r="N68" s="2">
        <f>0-SUM(K68:M68)</f>
        <v>-14</v>
      </c>
      <c r="O68" s="2">
        <v>0</v>
      </c>
      <c r="P68" s="2">
        <v>0</v>
      </c>
    </row>
    <row r="69" spans="2:16" x14ac:dyDescent="0.2">
      <c r="B69" s="4" t="s">
        <v>53</v>
      </c>
      <c r="K69" s="2">
        <v>24</v>
      </c>
      <c r="L69" s="2">
        <f>-38-K69</f>
        <v>-62</v>
      </c>
      <c r="M69" s="2">
        <f>27-SUM(K69:L69)</f>
        <v>65</v>
      </c>
      <c r="N69" s="2">
        <f>0-SUM(K69:M69)</f>
        <v>-27</v>
      </c>
      <c r="O69" s="2">
        <v>0</v>
      </c>
      <c r="P69" s="2">
        <v>0</v>
      </c>
    </row>
    <row r="70" spans="2:16" x14ac:dyDescent="0.2">
      <c r="B70" s="4" t="s">
        <v>54</v>
      </c>
      <c r="K70" s="2">
        <v>226</v>
      </c>
      <c r="L70" s="2">
        <f>133-K70</f>
        <v>-93</v>
      </c>
      <c r="M70" s="2">
        <f>321-SUM(K70:L70)</f>
        <v>188</v>
      </c>
      <c r="N70" s="2">
        <f>580-SUM(K70:M70)</f>
        <v>259</v>
      </c>
      <c r="O70" s="2">
        <v>325</v>
      </c>
      <c r="P70" s="2">
        <f>230-O70</f>
        <v>-95</v>
      </c>
    </row>
    <row r="71" spans="2:16" x14ac:dyDescent="0.2">
      <c r="B71" s="4" t="s">
        <v>55</v>
      </c>
      <c r="K71" s="2">
        <v>989</v>
      </c>
      <c r="L71" s="2">
        <f>1163-K71</f>
        <v>174</v>
      </c>
      <c r="M71" s="2">
        <f>284-SUM(K71:L71)</f>
        <v>-879</v>
      </c>
      <c r="N71" s="2">
        <f>242-SUM(K71:M71)</f>
        <v>-42</v>
      </c>
      <c r="O71" s="2">
        <v>1008</v>
      </c>
      <c r="P71" s="2">
        <f>1199-O71</f>
        <v>191</v>
      </c>
    </row>
    <row r="72" spans="2:16" x14ac:dyDescent="0.2">
      <c r="B72" s="2" t="s">
        <v>64</v>
      </c>
      <c r="K72" s="2">
        <f t="shared" ref="K72:P72" si="94">+SUM(K67:K71)</f>
        <v>1207</v>
      </c>
      <c r="L72" s="2">
        <f t="shared" si="94"/>
        <v>-25</v>
      </c>
      <c r="M72" s="2">
        <f t="shared" si="94"/>
        <v>-592</v>
      </c>
      <c r="N72" s="2">
        <f t="shared" si="94"/>
        <v>130</v>
      </c>
      <c r="O72" s="2">
        <f t="shared" si="94"/>
        <v>1346</v>
      </c>
      <c r="P72" s="2">
        <f t="shared" si="94"/>
        <v>-22</v>
      </c>
    </row>
    <row r="73" spans="2:16" s="6" customFormat="1" x14ac:dyDescent="0.2">
      <c r="B73" s="6" t="s">
        <v>65</v>
      </c>
      <c r="K73" s="6">
        <f t="shared" ref="K73:P73" si="95">+SUM(K61:K66)+K72</f>
        <v>1587</v>
      </c>
      <c r="L73" s="6">
        <f t="shared" si="95"/>
        <v>909</v>
      </c>
      <c r="M73" s="6">
        <f t="shared" si="95"/>
        <v>1325</v>
      </c>
      <c r="N73" s="6">
        <f t="shared" si="95"/>
        <v>63</v>
      </c>
      <c r="O73" s="6">
        <f t="shared" si="95"/>
        <v>1923</v>
      </c>
      <c r="P73" s="6">
        <f t="shared" si="95"/>
        <v>1051</v>
      </c>
    </row>
    <row r="75" spans="2:16" x14ac:dyDescent="0.2">
      <c r="B75" s="2" t="s">
        <v>89</v>
      </c>
      <c r="K75" s="2">
        <f>-6-1094+917</f>
        <v>-183</v>
      </c>
      <c r="L75" s="2">
        <f>-15-1691+1503-K75</f>
        <v>-20</v>
      </c>
      <c r="M75" s="2">
        <f>-30-2365+1828-SUM(K75:L75)</f>
        <v>-364</v>
      </c>
      <c r="N75" s="2">
        <f>-3308+2380-114-SUM(K75:M75)</f>
        <v>-475</v>
      </c>
      <c r="O75" s="2">
        <f>+-826+756-14</f>
        <v>-84</v>
      </c>
      <c r="P75" s="2">
        <f>-1520+1348-22-O75</f>
        <v>-110</v>
      </c>
    </row>
    <row r="76" spans="2:16" x14ac:dyDescent="0.2">
      <c r="B76" s="2" t="s">
        <v>66</v>
      </c>
      <c r="K76" s="2">
        <f>+K75</f>
        <v>-183</v>
      </c>
      <c r="L76" s="2">
        <f t="shared" ref="L76:P76" si="96">+L75</f>
        <v>-20</v>
      </c>
      <c r="M76" s="2">
        <f t="shared" si="96"/>
        <v>-364</v>
      </c>
      <c r="N76" s="2">
        <f t="shared" si="96"/>
        <v>-475</v>
      </c>
      <c r="O76" s="2">
        <f t="shared" si="96"/>
        <v>-84</v>
      </c>
      <c r="P76" s="2">
        <f t="shared" si="96"/>
        <v>-110</v>
      </c>
    </row>
    <row r="78" spans="2:16" x14ac:dyDescent="0.2">
      <c r="B78" s="2" t="s">
        <v>67</v>
      </c>
      <c r="K78" s="2">
        <v>-151</v>
      </c>
      <c r="L78" s="2">
        <f>-872-K78</f>
        <v>-721</v>
      </c>
      <c r="M78" s="2">
        <f>-1023-SUM(K78:L78)</f>
        <v>-151</v>
      </c>
      <c r="N78" s="2">
        <f>-1224-SUM(K78:M78)</f>
        <v>-201</v>
      </c>
      <c r="O78" s="2">
        <v>-155</v>
      </c>
      <c r="P78" s="2">
        <f>-309-O78</f>
        <v>-154</v>
      </c>
    </row>
    <row r="79" spans="2:16" x14ac:dyDescent="0.2">
      <c r="B79" s="2" t="s">
        <v>79</v>
      </c>
      <c r="L79" s="2">
        <v>23</v>
      </c>
      <c r="M79" s="2">
        <f>37-SUM(K79:L79)</f>
        <v>14</v>
      </c>
      <c r="N79" s="2">
        <f>0-SUM(K79:M79)</f>
        <v>-37</v>
      </c>
      <c r="O79" s="2">
        <v>0</v>
      </c>
      <c r="P79" s="2">
        <v>0</v>
      </c>
    </row>
    <row r="80" spans="2:16" x14ac:dyDescent="0.2">
      <c r="B80" s="2" t="s">
        <v>68</v>
      </c>
      <c r="K80" s="2">
        <v>17</v>
      </c>
      <c r="L80" s="2">
        <f>31-K80</f>
        <v>14</v>
      </c>
      <c r="M80" s="2">
        <f>31-SUM(K80:L80)</f>
        <v>0</v>
      </c>
      <c r="N80" s="2">
        <f>110-SUM(K80:M80)</f>
        <v>79</v>
      </c>
      <c r="O80" s="2">
        <v>46</v>
      </c>
      <c r="P80" s="2">
        <f>99-O80</f>
        <v>53</v>
      </c>
    </row>
    <row r="81" spans="2:16" x14ac:dyDescent="0.2">
      <c r="B81" s="2" t="s">
        <v>69</v>
      </c>
      <c r="K81" s="2">
        <v>-493</v>
      </c>
      <c r="L81" s="2">
        <f>-1000-K81</f>
        <v>-507</v>
      </c>
      <c r="M81" s="2">
        <f>-1500-SUM(K81:L81)</f>
        <v>-500</v>
      </c>
      <c r="N81" s="2">
        <f>-2252-SUM(K81:M81)</f>
        <v>-752</v>
      </c>
      <c r="O81" s="2">
        <v>-750</v>
      </c>
      <c r="P81" s="2">
        <f>-1499-O81</f>
        <v>-749</v>
      </c>
    </row>
    <row r="82" spans="2:16" x14ac:dyDescent="0.2">
      <c r="B82" s="2" t="s">
        <v>70</v>
      </c>
      <c r="K82" s="2">
        <v>2913</v>
      </c>
      <c r="L82" s="2">
        <f>4271-K82</f>
        <v>1358</v>
      </c>
      <c r="M82" s="2">
        <f>1196-SUM(K82:L82)</f>
        <v>-3075</v>
      </c>
      <c r="N82" s="2">
        <f>936-SUM(K82:M82)</f>
        <v>-260</v>
      </c>
      <c r="O82" s="2">
        <v>2993</v>
      </c>
      <c r="P82" s="2">
        <f>4654-O82</f>
        <v>1661</v>
      </c>
    </row>
    <row r="83" spans="2:16" x14ac:dyDescent="0.2">
      <c r="B83" s="2" t="s">
        <v>71</v>
      </c>
      <c r="K83" s="2">
        <f t="shared" ref="K83:P83" si="97">+SUM(K78:K82)</f>
        <v>2286</v>
      </c>
      <c r="L83" s="2">
        <f t="shared" si="97"/>
        <v>167</v>
      </c>
      <c r="M83" s="2">
        <f t="shared" si="97"/>
        <v>-3712</v>
      </c>
      <c r="N83" s="2">
        <f t="shared" si="97"/>
        <v>-1171</v>
      </c>
      <c r="O83" s="2">
        <f t="shared" si="97"/>
        <v>2134</v>
      </c>
      <c r="P83" s="2">
        <f t="shared" si="97"/>
        <v>811</v>
      </c>
    </row>
    <row r="85" spans="2:16" x14ac:dyDescent="0.2">
      <c r="B85" s="2" t="s">
        <v>72</v>
      </c>
      <c r="K85" s="2">
        <v>79</v>
      </c>
      <c r="L85" s="2">
        <f>132-K85</f>
        <v>53</v>
      </c>
      <c r="M85" s="2">
        <f>-10-SUM(K85:L85)</f>
        <v>-142</v>
      </c>
      <c r="N85" s="2">
        <f>152-SUM(K85:M85)</f>
        <v>162</v>
      </c>
      <c r="O85" s="2">
        <v>-111</v>
      </c>
      <c r="P85" s="2">
        <f>-202-O85</f>
        <v>-91</v>
      </c>
    </row>
    <row r="86" spans="2:16" x14ac:dyDescent="0.2">
      <c r="B86" s="2" t="s">
        <v>73</v>
      </c>
      <c r="K86" s="2">
        <f>+K73+K76+K83+K85</f>
        <v>3769</v>
      </c>
      <c r="L86" s="2">
        <f t="shared" ref="L86:P86" si="98">+L73+L76+L83+L85</f>
        <v>1109</v>
      </c>
      <c r="M86" s="2">
        <f t="shared" si="98"/>
        <v>-2893</v>
      </c>
      <c r="N86" s="2">
        <f t="shared" si="98"/>
        <v>-1421</v>
      </c>
      <c r="O86" s="2">
        <f t="shared" si="98"/>
        <v>3862</v>
      </c>
      <c r="P86" s="2">
        <f t="shared" si="98"/>
        <v>1661</v>
      </c>
    </row>
    <row r="88" spans="2:16" x14ac:dyDescent="0.2">
      <c r="B88" s="2" t="s">
        <v>90</v>
      </c>
      <c r="K88" s="2">
        <f t="shared" ref="K88:N88" si="99">+K73</f>
        <v>1587</v>
      </c>
      <c r="L88" s="2">
        <f t="shared" si="99"/>
        <v>909</v>
      </c>
      <c r="M88" s="2">
        <f t="shared" si="99"/>
        <v>1325</v>
      </c>
      <c r="N88" s="2">
        <f t="shared" si="99"/>
        <v>63</v>
      </c>
      <c r="O88" s="2">
        <f>+O73</f>
        <v>1923</v>
      </c>
      <c r="P88" s="2">
        <f>+P73</f>
        <v>1051</v>
      </c>
    </row>
    <row r="89" spans="2:16" x14ac:dyDescent="0.2">
      <c r="B89" s="2" t="s">
        <v>91</v>
      </c>
      <c r="N89" s="2">
        <f>+SUM(K88:N88)</f>
        <v>3884</v>
      </c>
      <c r="O89" s="2">
        <f>+SUM(L88:O88)</f>
        <v>4220</v>
      </c>
      <c r="P89" s="2">
        <f>+SUM(M88:P88)</f>
        <v>4362</v>
      </c>
    </row>
    <row r="91" spans="2:16" x14ac:dyDescent="0.2">
      <c r="B91" s="2" t="s">
        <v>74</v>
      </c>
    </row>
  </sheetData>
  <hyperlinks>
    <hyperlink ref="A1" location="Main!A1" display="Main!A1" xr:uid="{488375D0-E2F5-4A6E-8356-8C0FB36AF7B1}"/>
  </hyperlink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2024-05-09T07:26:45Z</dcterms:created>
  <dcterms:modified xsi:type="dcterms:W3CDTF">2024-11-09T10:45:24Z</dcterms:modified>
</cp:coreProperties>
</file>