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ech\"/>
    </mc:Choice>
  </mc:AlternateContent>
  <xr:revisionPtr revIDLastSave="0" documentId="13_ncr:1_{4844B5C4-FDB5-4BD4-9D11-2EDFB1E13656}" xr6:coauthVersionLast="47" xr6:coauthVersionMax="47" xr10:uidLastSave="{00000000-0000-0000-0000-000000000000}"/>
  <bookViews>
    <workbookView xWindow="150" yWindow="90" windowWidth="12660" windowHeight="15300" activeTab="1" xr2:uid="{904A4815-6A06-4ED7-99CE-B4B8B28342F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0" i="1" l="1"/>
  <c r="Z24" i="1"/>
  <c r="AA24" i="1" s="1"/>
  <c r="AB24" i="1" s="1"/>
  <c r="AC24" i="1" s="1"/>
  <c r="AD24" i="1" s="1"/>
  <c r="AE24" i="1" s="1"/>
  <c r="AF24" i="1" s="1"/>
  <c r="AG24" i="1" s="1"/>
  <c r="AH24" i="1" s="1"/>
  <c r="AI24" i="1" s="1"/>
  <c r="Y24" i="1"/>
  <c r="O24" i="1"/>
  <c r="O13" i="1"/>
  <c r="AA13" i="1"/>
  <c r="AB13" i="1" s="1"/>
  <c r="AC13" i="1" s="1"/>
  <c r="AD13" i="1" s="1"/>
  <c r="AE13" i="1" s="1"/>
  <c r="AF13" i="1" s="1"/>
  <c r="AG13" i="1" s="1"/>
  <c r="AH13" i="1" s="1"/>
  <c r="AI13" i="1" s="1"/>
  <c r="Z13" i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AA20" i="1"/>
  <c r="AB20" i="1" s="1"/>
  <c r="AC20" i="1" s="1"/>
  <c r="AD20" i="1" s="1"/>
  <c r="AE20" i="1" s="1"/>
  <c r="AF20" i="1" s="1"/>
  <c r="AG20" i="1" s="1"/>
  <c r="AH20" i="1" s="1"/>
  <c r="AI20" i="1" s="1"/>
  <c r="Z20" i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Y38" i="1"/>
  <c r="Y92" i="1"/>
  <c r="L95" i="1"/>
  <c r="K95" i="1"/>
  <c r="J95" i="1"/>
  <c r="I95" i="1"/>
  <c r="H95" i="1"/>
  <c r="G95" i="1"/>
  <c r="F95" i="1"/>
  <c r="E95" i="1"/>
  <c r="M95" i="1"/>
  <c r="X92" i="1"/>
  <c r="X88" i="1"/>
  <c r="X87" i="1"/>
  <c r="X85" i="1"/>
  <c r="X84" i="1"/>
  <c r="X83" i="1"/>
  <c r="X82" i="1"/>
  <c r="X81" i="1"/>
  <c r="X80" i="1"/>
  <c r="X78" i="1"/>
  <c r="X77" i="1"/>
  <c r="X76" i="1"/>
  <c r="X75" i="1"/>
  <c r="X73" i="1"/>
  <c r="X72" i="1"/>
  <c r="X71" i="1"/>
  <c r="X70" i="1"/>
  <c r="X69" i="1"/>
  <c r="X68" i="1"/>
  <c r="X67" i="1"/>
  <c r="X66" i="1"/>
  <c r="X65" i="1"/>
  <c r="X64" i="1"/>
  <c r="X63" i="1"/>
  <c r="L93" i="1"/>
  <c r="K93" i="1"/>
  <c r="J93" i="1"/>
  <c r="I93" i="1"/>
  <c r="H93" i="1"/>
  <c r="G93" i="1"/>
  <c r="F93" i="1"/>
  <c r="E93" i="1"/>
  <c r="M93" i="1"/>
  <c r="M92" i="1"/>
  <c r="W92" i="1"/>
  <c r="W90" i="1"/>
  <c r="W85" i="1"/>
  <c r="W88" i="1" s="1"/>
  <c r="W76" i="1"/>
  <c r="W78" i="1" s="1"/>
  <c r="W75" i="1"/>
  <c r="W72" i="1"/>
  <c r="W73" i="1" s="1"/>
  <c r="V53" i="1"/>
  <c r="V52" i="1"/>
  <c r="V51" i="1"/>
  <c r="V50" i="1"/>
  <c r="V44" i="1"/>
  <c r="V39" i="1"/>
  <c r="V47" i="1" s="1"/>
  <c r="X53" i="1"/>
  <c r="X52" i="1"/>
  <c r="X51" i="1"/>
  <c r="X50" i="1"/>
  <c r="X44" i="1"/>
  <c r="X39" i="1"/>
  <c r="W53" i="1"/>
  <c r="W52" i="1"/>
  <c r="W51" i="1"/>
  <c r="W55" i="1" s="1"/>
  <c r="W44" i="1"/>
  <c r="W39" i="1"/>
  <c r="W47" i="1" s="1"/>
  <c r="W56" i="1" s="1"/>
  <c r="W38" i="1"/>
  <c r="Y21" i="1"/>
  <c r="Y20" i="1"/>
  <c r="Y19" i="1"/>
  <c r="O21" i="1"/>
  <c r="O20" i="1"/>
  <c r="O19" i="1"/>
  <c r="Z92" i="1" l="1"/>
  <c r="Z38" i="1" s="1"/>
  <c r="AC92" i="1"/>
  <c r="AA92" i="1"/>
  <c r="AB92" i="1"/>
  <c r="V55" i="1"/>
  <c r="V56" i="1" s="1"/>
  <c r="X47" i="1"/>
  <c r="X56" i="1" s="1"/>
  <c r="X57" i="1" s="1"/>
  <c r="X55" i="1"/>
  <c r="V38" i="1"/>
  <c r="X38" i="1"/>
  <c r="W57" i="1"/>
  <c r="AA38" i="1" l="1"/>
  <c r="AB38" i="1" s="1"/>
  <c r="AC38" i="1" s="1"/>
  <c r="AD92" i="1"/>
  <c r="V57" i="1"/>
  <c r="AA36" i="1"/>
  <c r="Z36" i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Y22" i="1"/>
  <c r="X22" i="1"/>
  <c r="X17" i="1"/>
  <c r="X13" i="1"/>
  <c r="L6" i="2"/>
  <c r="M85" i="1"/>
  <c r="M76" i="1"/>
  <c r="M78" i="1" s="1"/>
  <c r="M73" i="1"/>
  <c r="M53" i="1"/>
  <c r="M52" i="1"/>
  <c r="M51" i="1"/>
  <c r="M50" i="1"/>
  <c r="M44" i="1"/>
  <c r="M39" i="1"/>
  <c r="M22" i="1"/>
  <c r="M17" i="1"/>
  <c r="M13" i="1"/>
  <c r="L85" i="1"/>
  <c r="L76" i="1"/>
  <c r="L78" i="1" s="1"/>
  <c r="L73" i="1"/>
  <c r="L90" i="1" s="1"/>
  <c r="F84" i="1"/>
  <c r="F85" i="1" s="1"/>
  <c r="K85" i="1"/>
  <c r="K76" i="1"/>
  <c r="K78" i="1" s="1"/>
  <c r="H78" i="1"/>
  <c r="K73" i="1"/>
  <c r="K90" i="1" s="1"/>
  <c r="L53" i="1"/>
  <c r="L52" i="1"/>
  <c r="L51" i="1"/>
  <c r="L50" i="1"/>
  <c r="L44" i="1"/>
  <c r="L39" i="1"/>
  <c r="K52" i="1"/>
  <c r="K51" i="1"/>
  <c r="K53" i="1"/>
  <c r="K50" i="1"/>
  <c r="K44" i="1"/>
  <c r="K39" i="1"/>
  <c r="L22" i="1"/>
  <c r="L17" i="1"/>
  <c r="L13" i="1"/>
  <c r="K22" i="1"/>
  <c r="K17" i="1"/>
  <c r="K13" i="1"/>
  <c r="F76" i="1"/>
  <c r="F78" i="1" s="1"/>
  <c r="F73" i="1"/>
  <c r="F92" i="1" s="1"/>
  <c r="F53" i="1"/>
  <c r="F52" i="1"/>
  <c r="F51" i="1"/>
  <c r="F44" i="1"/>
  <c r="F39" i="1"/>
  <c r="F38" i="1" s="1"/>
  <c r="B85" i="1"/>
  <c r="B76" i="1"/>
  <c r="B78" i="1" s="1"/>
  <c r="B73" i="1"/>
  <c r="B92" i="1" s="1"/>
  <c r="B50" i="1"/>
  <c r="B53" i="1"/>
  <c r="B52" i="1"/>
  <c r="B51" i="1"/>
  <c r="B44" i="1"/>
  <c r="B39" i="1"/>
  <c r="D53" i="1"/>
  <c r="D52" i="1"/>
  <c r="D51" i="1"/>
  <c r="D50" i="1"/>
  <c r="D44" i="1"/>
  <c r="D39" i="1"/>
  <c r="C53" i="1"/>
  <c r="C51" i="1"/>
  <c r="C52" i="1"/>
  <c r="C50" i="1"/>
  <c r="C44" i="1"/>
  <c r="C39" i="1"/>
  <c r="C85" i="1"/>
  <c r="C76" i="1"/>
  <c r="C78" i="1" s="1"/>
  <c r="C73" i="1"/>
  <c r="C92" i="1" s="1"/>
  <c r="G85" i="1"/>
  <c r="G76" i="1"/>
  <c r="G78" i="1" s="1"/>
  <c r="G73" i="1"/>
  <c r="G92" i="1" s="1"/>
  <c r="G53" i="1"/>
  <c r="G52" i="1"/>
  <c r="G51" i="1"/>
  <c r="G44" i="1"/>
  <c r="G39" i="1"/>
  <c r="G38" i="1" s="1"/>
  <c r="E85" i="1"/>
  <c r="E76" i="1"/>
  <c r="E78" i="1" s="1"/>
  <c r="E73" i="1"/>
  <c r="E92" i="1" s="1"/>
  <c r="D85" i="1"/>
  <c r="D76" i="1"/>
  <c r="D78" i="1" s="1"/>
  <c r="D73" i="1"/>
  <c r="D92" i="1" s="1"/>
  <c r="E53" i="1"/>
  <c r="E52" i="1"/>
  <c r="E51" i="1"/>
  <c r="E50" i="1"/>
  <c r="E44" i="1"/>
  <c r="E39" i="1"/>
  <c r="H85" i="1"/>
  <c r="H73" i="1"/>
  <c r="H92" i="1" s="1"/>
  <c r="AE92" i="1" l="1"/>
  <c r="AD38" i="1"/>
  <c r="Y36" i="1"/>
  <c r="Y17" i="1"/>
  <c r="M90" i="1"/>
  <c r="M55" i="1"/>
  <c r="M88" i="1"/>
  <c r="L7" i="2"/>
  <c r="L8" i="2" s="1"/>
  <c r="X18" i="1"/>
  <c r="X31" i="1" s="1"/>
  <c r="M38" i="1"/>
  <c r="AI22" i="1"/>
  <c r="AG22" i="1"/>
  <c r="Z22" i="1"/>
  <c r="AA22" i="1"/>
  <c r="AE22" i="1"/>
  <c r="AH22" i="1"/>
  <c r="AB22" i="1"/>
  <c r="AC22" i="1"/>
  <c r="AF22" i="1"/>
  <c r="AD22" i="1"/>
  <c r="AB36" i="1"/>
  <c r="M47" i="1"/>
  <c r="M56" i="1" s="1"/>
  <c r="M57" i="1" s="1"/>
  <c r="L88" i="1"/>
  <c r="L92" i="1"/>
  <c r="L38" i="1"/>
  <c r="M18" i="1"/>
  <c r="L55" i="1"/>
  <c r="K47" i="1"/>
  <c r="L47" i="1"/>
  <c r="K88" i="1"/>
  <c r="K55" i="1"/>
  <c r="K38" i="1"/>
  <c r="K92" i="1"/>
  <c r="K18" i="1"/>
  <c r="K31" i="1" s="1"/>
  <c r="L18" i="1"/>
  <c r="L31" i="1" s="1"/>
  <c r="H90" i="1"/>
  <c r="C90" i="1"/>
  <c r="B90" i="1"/>
  <c r="D90" i="1"/>
  <c r="E90" i="1"/>
  <c r="F90" i="1"/>
  <c r="G90" i="1"/>
  <c r="F55" i="1"/>
  <c r="D88" i="1"/>
  <c r="C55" i="1"/>
  <c r="E38" i="1"/>
  <c r="C47" i="1"/>
  <c r="B47" i="1"/>
  <c r="B88" i="1"/>
  <c r="D55" i="1"/>
  <c r="C88" i="1"/>
  <c r="G47" i="1"/>
  <c r="E47" i="1"/>
  <c r="D38" i="1"/>
  <c r="E55" i="1"/>
  <c r="F88" i="1"/>
  <c r="D47" i="1"/>
  <c r="F47" i="1"/>
  <c r="B55" i="1"/>
  <c r="G55" i="1"/>
  <c r="G88" i="1"/>
  <c r="B38" i="1"/>
  <c r="C38" i="1"/>
  <c r="E88" i="1"/>
  <c r="H88" i="1"/>
  <c r="H53" i="1"/>
  <c r="H52" i="1"/>
  <c r="H51" i="1"/>
  <c r="H44" i="1"/>
  <c r="H39" i="1"/>
  <c r="H38" i="1" s="1"/>
  <c r="I85" i="1"/>
  <c r="I76" i="1"/>
  <c r="I78" i="1" s="1"/>
  <c r="I73" i="1"/>
  <c r="I53" i="1"/>
  <c r="I52" i="1"/>
  <c r="I51" i="1"/>
  <c r="I44" i="1"/>
  <c r="I39" i="1"/>
  <c r="J85" i="1"/>
  <c r="J76" i="1"/>
  <c r="J78" i="1" s="1"/>
  <c r="J73" i="1"/>
  <c r="J53" i="1"/>
  <c r="J52" i="1"/>
  <c r="J51" i="1"/>
  <c r="J50" i="1"/>
  <c r="J44" i="1"/>
  <c r="J39" i="1"/>
  <c r="J22" i="1"/>
  <c r="J17" i="1"/>
  <c r="J13" i="1"/>
  <c r="Q22" i="1"/>
  <c r="Q17" i="1"/>
  <c r="O17" i="1" s="1"/>
  <c r="Q13" i="1"/>
  <c r="R22" i="1"/>
  <c r="R17" i="1"/>
  <c r="R13" i="1"/>
  <c r="S22" i="1"/>
  <c r="S17" i="1"/>
  <c r="S13" i="1"/>
  <c r="T22" i="1"/>
  <c r="T17" i="1"/>
  <c r="T13" i="1"/>
  <c r="E29" i="1"/>
  <c r="E26" i="1"/>
  <c r="E24" i="1"/>
  <c r="E21" i="1"/>
  <c r="E20" i="1"/>
  <c r="E19" i="1"/>
  <c r="E16" i="1"/>
  <c r="E15" i="1"/>
  <c r="E14" i="1"/>
  <c r="E12" i="1"/>
  <c r="E11" i="1"/>
  <c r="E10" i="1"/>
  <c r="I26" i="1"/>
  <c r="I24" i="1"/>
  <c r="I21" i="1"/>
  <c r="I20" i="1"/>
  <c r="I19" i="1"/>
  <c r="I16" i="1"/>
  <c r="I15" i="1"/>
  <c r="I14" i="1"/>
  <c r="I12" i="1"/>
  <c r="I11" i="1"/>
  <c r="I10" i="1"/>
  <c r="B22" i="1"/>
  <c r="B17" i="1"/>
  <c r="B13" i="1"/>
  <c r="F22" i="1"/>
  <c r="F17" i="1"/>
  <c r="F13" i="1"/>
  <c r="C22" i="1"/>
  <c r="C17" i="1"/>
  <c r="C13" i="1"/>
  <c r="G22" i="1"/>
  <c r="G17" i="1"/>
  <c r="G13" i="1"/>
  <c r="K36" i="1" s="1"/>
  <c r="U22" i="1"/>
  <c r="U17" i="1"/>
  <c r="U13" i="1"/>
  <c r="V22" i="1"/>
  <c r="V17" i="1"/>
  <c r="V13" i="1"/>
  <c r="W22" i="1"/>
  <c r="W17" i="1"/>
  <c r="W13" i="1"/>
  <c r="X36" i="1" s="1"/>
  <c r="D22" i="1"/>
  <c r="D17" i="1"/>
  <c r="D13" i="1"/>
  <c r="L5" i="2"/>
  <c r="H22" i="1"/>
  <c r="H17" i="1"/>
  <c r="H13" i="1"/>
  <c r="L36" i="1" s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E38" i="1" l="1"/>
  <c r="AF92" i="1"/>
  <c r="L56" i="1"/>
  <c r="L57" i="1" s="1"/>
  <c r="X23" i="1"/>
  <c r="Y18" i="1"/>
  <c r="AC36" i="1"/>
  <c r="M31" i="1"/>
  <c r="M23" i="1"/>
  <c r="K56" i="1"/>
  <c r="K57" i="1" s="1"/>
  <c r="L23" i="1"/>
  <c r="L32" i="1" s="1"/>
  <c r="K23" i="1"/>
  <c r="K32" i="1" s="1"/>
  <c r="K25" i="1"/>
  <c r="E91" i="1"/>
  <c r="F91" i="1"/>
  <c r="J92" i="1"/>
  <c r="J90" i="1"/>
  <c r="M91" i="1" s="1"/>
  <c r="H91" i="1"/>
  <c r="I92" i="1"/>
  <c r="I90" i="1"/>
  <c r="G91" i="1"/>
  <c r="B56" i="1"/>
  <c r="B57" i="1" s="1"/>
  <c r="F56" i="1"/>
  <c r="F57" i="1" s="1"/>
  <c r="C56" i="1"/>
  <c r="C57" i="1" s="1"/>
  <c r="I47" i="1"/>
  <c r="G56" i="1"/>
  <c r="G57" i="1" s="1"/>
  <c r="D56" i="1"/>
  <c r="D57" i="1" s="1"/>
  <c r="H55" i="1"/>
  <c r="I88" i="1"/>
  <c r="E56" i="1"/>
  <c r="E57" i="1" s="1"/>
  <c r="H47" i="1"/>
  <c r="I55" i="1"/>
  <c r="I38" i="1"/>
  <c r="J88" i="1"/>
  <c r="J38" i="1"/>
  <c r="J55" i="1"/>
  <c r="V36" i="1"/>
  <c r="I22" i="1"/>
  <c r="S36" i="1"/>
  <c r="F36" i="1"/>
  <c r="T36" i="1"/>
  <c r="R36" i="1"/>
  <c r="J18" i="1"/>
  <c r="J23" i="1" s="1"/>
  <c r="J47" i="1"/>
  <c r="H36" i="1"/>
  <c r="J36" i="1"/>
  <c r="I13" i="1"/>
  <c r="M36" i="1" s="1"/>
  <c r="Q18" i="1"/>
  <c r="Q31" i="1" s="1"/>
  <c r="R18" i="1"/>
  <c r="R23" i="1" s="1"/>
  <c r="S18" i="1"/>
  <c r="S23" i="1" s="1"/>
  <c r="W36" i="1"/>
  <c r="I17" i="1"/>
  <c r="E17" i="1"/>
  <c r="U36" i="1"/>
  <c r="E22" i="1"/>
  <c r="G36" i="1"/>
  <c r="E13" i="1"/>
  <c r="H18" i="1"/>
  <c r="T18" i="1"/>
  <c r="T31" i="1" s="1"/>
  <c r="B18" i="1"/>
  <c r="B31" i="1" s="1"/>
  <c r="F18" i="1"/>
  <c r="F23" i="1" s="1"/>
  <c r="C18" i="1"/>
  <c r="C23" i="1" s="1"/>
  <c r="G18" i="1"/>
  <c r="G31" i="1" s="1"/>
  <c r="U18" i="1"/>
  <c r="U31" i="1" s="1"/>
  <c r="V18" i="1"/>
  <c r="V23" i="1" s="1"/>
  <c r="W18" i="1"/>
  <c r="W31" i="1" s="1"/>
  <c r="D18" i="1"/>
  <c r="L10" i="2"/>
  <c r="AF38" i="1" l="1"/>
  <c r="AG92" i="1"/>
  <c r="Y31" i="1"/>
  <c r="Y23" i="1"/>
  <c r="X25" i="1"/>
  <c r="X32" i="1"/>
  <c r="Z18" i="1"/>
  <c r="AD36" i="1"/>
  <c r="I91" i="1"/>
  <c r="L91" i="1"/>
  <c r="M32" i="1"/>
  <c r="M25" i="1"/>
  <c r="H56" i="1"/>
  <c r="H57" i="1" s="1"/>
  <c r="L25" i="1"/>
  <c r="L34" i="1" s="1"/>
  <c r="K91" i="1"/>
  <c r="K27" i="1"/>
  <c r="K63" i="1" s="1"/>
  <c r="K34" i="1"/>
  <c r="J91" i="1"/>
  <c r="I56" i="1"/>
  <c r="I57" i="1" s="1"/>
  <c r="I36" i="1"/>
  <c r="J56" i="1"/>
  <c r="J57" i="1" s="1"/>
  <c r="J31" i="1"/>
  <c r="E18" i="1"/>
  <c r="E31" i="1" s="1"/>
  <c r="I18" i="1"/>
  <c r="I23" i="1" s="1"/>
  <c r="J32" i="1"/>
  <c r="J25" i="1"/>
  <c r="Q23" i="1"/>
  <c r="Q32" i="1" s="1"/>
  <c r="R31" i="1"/>
  <c r="R32" i="1"/>
  <c r="R25" i="1"/>
  <c r="S31" i="1"/>
  <c r="S32" i="1"/>
  <c r="S25" i="1"/>
  <c r="F31" i="1"/>
  <c r="D23" i="1"/>
  <c r="D31" i="1"/>
  <c r="H31" i="1"/>
  <c r="H23" i="1"/>
  <c r="T23" i="1"/>
  <c r="T25" i="1" s="1"/>
  <c r="B23" i="1"/>
  <c r="B32" i="1" s="1"/>
  <c r="F25" i="1"/>
  <c r="F32" i="1"/>
  <c r="C31" i="1"/>
  <c r="C32" i="1"/>
  <c r="C25" i="1"/>
  <c r="G23" i="1"/>
  <c r="G32" i="1" s="1"/>
  <c r="U23" i="1"/>
  <c r="U32" i="1" s="1"/>
  <c r="V31" i="1"/>
  <c r="V32" i="1"/>
  <c r="V25" i="1"/>
  <c r="W23" i="1"/>
  <c r="W32" i="1" s="1"/>
  <c r="AG38" i="1" l="1"/>
  <c r="AI92" i="1"/>
  <c r="AH92" i="1"/>
  <c r="Z31" i="1"/>
  <c r="Z23" i="1"/>
  <c r="Z32" i="1" s="1"/>
  <c r="AA18" i="1"/>
  <c r="X27" i="1"/>
  <c r="X34" i="1"/>
  <c r="Y25" i="1"/>
  <c r="Y32" i="1"/>
  <c r="AE36" i="1"/>
  <c r="M34" i="1"/>
  <c r="M27" i="1"/>
  <c r="M63" i="1" s="1"/>
  <c r="L27" i="1"/>
  <c r="L63" i="1" s="1"/>
  <c r="K33" i="1"/>
  <c r="K28" i="1"/>
  <c r="I31" i="1"/>
  <c r="E23" i="1"/>
  <c r="E32" i="1" s="1"/>
  <c r="Q25" i="1"/>
  <c r="Q34" i="1" s="1"/>
  <c r="J27" i="1"/>
  <c r="J34" i="1"/>
  <c r="R34" i="1"/>
  <c r="R27" i="1"/>
  <c r="S34" i="1"/>
  <c r="S27" i="1"/>
  <c r="D25" i="1"/>
  <c r="D32" i="1"/>
  <c r="I25" i="1"/>
  <c r="I32" i="1"/>
  <c r="H32" i="1"/>
  <c r="H25" i="1"/>
  <c r="T32" i="1"/>
  <c r="T34" i="1"/>
  <c r="T27" i="1"/>
  <c r="B25" i="1"/>
  <c r="B34" i="1" s="1"/>
  <c r="F27" i="1"/>
  <c r="F34" i="1"/>
  <c r="C34" i="1"/>
  <c r="C27" i="1"/>
  <c r="G25" i="1"/>
  <c r="G27" i="1" s="1"/>
  <c r="U25" i="1"/>
  <c r="U34" i="1" s="1"/>
  <c r="V34" i="1"/>
  <c r="V27" i="1"/>
  <c r="W25" i="1"/>
  <c r="W34" i="1" s="1"/>
  <c r="AH38" i="1" l="1"/>
  <c r="AI38" i="1" s="1"/>
  <c r="C63" i="1"/>
  <c r="F63" i="1"/>
  <c r="J63" i="1"/>
  <c r="M59" i="1"/>
  <c r="M60" i="1" s="1"/>
  <c r="G63" i="1"/>
  <c r="X33" i="1"/>
  <c r="X28" i="1"/>
  <c r="AA23" i="1"/>
  <c r="AA31" i="1"/>
  <c r="AB18" i="1"/>
  <c r="Y26" i="1"/>
  <c r="Y34" i="1" s="1"/>
  <c r="AF36" i="1"/>
  <c r="M33" i="1"/>
  <c r="M28" i="1"/>
  <c r="L33" i="1"/>
  <c r="L28" i="1"/>
  <c r="Q27" i="1"/>
  <c r="Q28" i="1" s="1"/>
  <c r="E25" i="1"/>
  <c r="E34" i="1" s="1"/>
  <c r="J33" i="1"/>
  <c r="J28" i="1"/>
  <c r="R33" i="1"/>
  <c r="R28" i="1"/>
  <c r="S28" i="1"/>
  <c r="S33" i="1"/>
  <c r="D27" i="1"/>
  <c r="D34" i="1"/>
  <c r="H27" i="1"/>
  <c r="H34" i="1"/>
  <c r="I34" i="1"/>
  <c r="I27" i="1"/>
  <c r="J59" i="1" s="1"/>
  <c r="J60" i="1" s="1"/>
  <c r="T33" i="1"/>
  <c r="T28" i="1"/>
  <c r="B27" i="1"/>
  <c r="F28" i="1"/>
  <c r="F33" i="1"/>
  <c r="C33" i="1"/>
  <c r="C28" i="1"/>
  <c r="G34" i="1"/>
  <c r="G33" i="1"/>
  <c r="G28" i="1"/>
  <c r="U27" i="1"/>
  <c r="V33" i="1"/>
  <c r="V28" i="1"/>
  <c r="W27" i="1"/>
  <c r="W63" i="1" s="1"/>
  <c r="H63" i="1" l="1"/>
  <c r="K59" i="1"/>
  <c r="K60" i="1" s="1"/>
  <c r="D63" i="1"/>
  <c r="I63" i="1"/>
  <c r="L59" i="1"/>
  <c r="L60" i="1" s="1"/>
  <c r="I59" i="1"/>
  <c r="I60" i="1" s="1"/>
  <c r="Y27" i="1"/>
  <c r="Y33" i="1" s="1"/>
  <c r="AB31" i="1"/>
  <c r="AB23" i="1"/>
  <c r="AB32" i="1" s="1"/>
  <c r="AC18" i="1"/>
  <c r="AA32" i="1"/>
  <c r="AA25" i="1"/>
  <c r="AA26" i="1" s="1"/>
  <c r="AA34" i="1" s="1"/>
  <c r="AG36" i="1"/>
  <c r="W33" i="1"/>
  <c r="U33" i="1"/>
  <c r="B33" i="1"/>
  <c r="B63" i="1"/>
  <c r="Q33" i="1"/>
  <c r="E27" i="1"/>
  <c r="H59" i="1" s="1"/>
  <c r="H60" i="1" s="1"/>
  <c r="B28" i="1"/>
  <c r="D28" i="1"/>
  <c r="D33" i="1"/>
  <c r="H28" i="1"/>
  <c r="H33" i="1"/>
  <c r="I33" i="1"/>
  <c r="I28" i="1"/>
  <c r="U28" i="1"/>
  <c r="W28" i="1"/>
  <c r="F59" i="1" l="1"/>
  <c r="F60" i="1" s="1"/>
  <c r="G59" i="1"/>
  <c r="G60" i="1" s="1"/>
  <c r="E59" i="1"/>
  <c r="E60" i="1" s="1"/>
  <c r="Y28" i="1"/>
  <c r="Z25" i="1"/>
  <c r="AA27" i="1"/>
  <c r="AA28" i="1" s="1"/>
  <c r="Z26" i="1"/>
  <c r="Z34" i="1" s="1"/>
  <c r="AD18" i="1"/>
  <c r="AC23" i="1"/>
  <c r="AC32" i="1" s="1"/>
  <c r="AC31" i="1"/>
  <c r="AI36" i="1"/>
  <c r="AH36" i="1"/>
  <c r="E28" i="1"/>
  <c r="E63" i="1"/>
  <c r="E33" i="1"/>
  <c r="AA33" i="1" l="1"/>
  <c r="Z27" i="1"/>
  <c r="AB25" i="1" s="1"/>
  <c r="AB26" i="1" s="1"/>
  <c r="AB34" i="1" s="1"/>
  <c r="AD23" i="1"/>
  <c r="AD32" i="1" s="1"/>
  <c r="AD31" i="1"/>
  <c r="AE18" i="1"/>
  <c r="Z28" i="1" l="1"/>
  <c r="Z33" i="1"/>
  <c r="AE23" i="1"/>
  <c r="AE32" i="1" s="1"/>
  <c r="AE31" i="1"/>
  <c r="AB27" i="1"/>
  <c r="AC25" i="1" s="1"/>
  <c r="AC26" i="1" s="1"/>
  <c r="AC34" i="1" s="1"/>
  <c r="AF18" i="1"/>
  <c r="AB33" i="1" l="1"/>
  <c r="AB28" i="1"/>
  <c r="AC27" i="1"/>
  <c r="AC28" i="1" s="1"/>
  <c r="AF23" i="1"/>
  <c r="AF32" i="1" s="1"/>
  <c r="AF31" i="1"/>
  <c r="AG18" i="1"/>
  <c r="AD25" i="1" l="1"/>
  <c r="AD26" i="1" s="1"/>
  <c r="AD34" i="1" s="1"/>
  <c r="AC33" i="1"/>
  <c r="AG31" i="1"/>
  <c r="AG23" i="1"/>
  <c r="AG32" i="1" s="1"/>
  <c r="AI18" i="1"/>
  <c r="AH18" i="1"/>
  <c r="AD27" i="1" l="1"/>
  <c r="AE25" i="1" s="1"/>
  <c r="AE26" i="1" s="1"/>
  <c r="AE34" i="1" s="1"/>
  <c r="AI31" i="1"/>
  <c r="AI23" i="1"/>
  <c r="AI32" i="1" s="1"/>
  <c r="AH31" i="1"/>
  <c r="AH23" i="1"/>
  <c r="AH32" i="1" s="1"/>
  <c r="AD28" i="1" l="1"/>
  <c r="AE27" i="1"/>
  <c r="AE33" i="1" s="1"/>
  <c r="AD33" i="1"/>
  <c r="AF25" i="1"/>
  <c r="AE28" i="1" l="1"/>
  <c r="AF26" i="1"/>
  <c r="AF34" i="1" s="1"/>
  <c r="AF27" i="1" l="1"/>
  <c r="AF28" i="1" s="1"/>
  <c r="AG25" i="1" l="1"/>
  <c r="AG26" i="1" s="1"/>
  <c r="AG34" i="1" s="1"/>
  <c r="AF33" i="1"/>
  <c r="AG27" i="1" l="1"/>
  <c r="AH25" i="1" s="1"/>
  <c r="AG33" i="1" l="1"/>
  <c r="AG28" i="1"/>
  <c r="AH26" i="1"/>
  <c r="AH34" i="1" s="1"/>
  <c r="AH27" i="1" l="1"/>
  <c r="AI25" i="1" s="1"/>
  <c r="AH33" i="1" l="1"/>
  <c r="AH28" i="1"/>
  <c r="AI26" i="1"/>
  <c r="AI34" i="1" s="1"/>
  <c r="AI27" i="1" l="1"/>
  <c r="AI28" i="1" s="1"/>
  <c r="AJ27" i="1" l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AL33" i="1" s="1"/>
  <c r="AL35" i="1" s="1"/>
  <c r="AL36" i="1" s="1"/>
  <c r="AL38" i="1" s="1"/>
  <c r="AI33" i="1"/>
  <c r="AL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J92" authorId="0" shapeId="0" xr:uid="{ED98963B-6C32-4E9F-B494-01B7A89E20D2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not accounted for 1000 for not acquiring Figma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<sst xmlns="http://schemas.openxmlformats.org/spreadsheetml/2006/main" count="150" uniqueCount="126">
  <si>
    <t>Adobe</t>
  </si>
  <si>
    <t>Q122</t>
  </si>
  <si>
    <t>Q222</t>
  </si>
  <si>
    <t>Q322</t>
  </si>
  <si>
    <t>Q422</t>
  </si>
  <si>
    <t>Q123</t>
  </si>
  <si>
    <t>Q223</t>
  </si>
  <si>
    <t>Q323</t>
  </si>
  <si>
    <t>Q423</t>
  </si>
  <si>
    <t>(ADBE)</t>
  </si>
  <si>
    <t>(in millions)</t>
  </si>
  <si>
    <t>Subscrition</t>
  </si>
  <si>
    <t>Product</t>
  </si>
  <si>
    <t>Service &amp; other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</si>
  <si>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</si>
  <si>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</si>
  <si>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</si>
  <si>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</si>
  <si>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</si>
  <si>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</si>
  <si>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</si>
  <si>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</si>
  <si>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expense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</si>
  <si>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</si>
  <si>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</si>
  <si>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</si>
  <si>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</si>
  <si>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</si>
  <si>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</si>
  <si>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</si>
  <si>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</si>
  <si>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Revenue y/y</t>
  </si>
  <si>
    <t>Price</t>
  </si>
  <si>
    <t>MC</t>
  </si>
  <si>
    <t>Cash</t>
  </si>
  <si>
    <t>Debt</t>
  </si>
  <si>
    <t>EV</t>
  </si>
  <si>
    <t>Q124</t>
  </si>
  <si>
    <t>A/R</t>
  </si>
  <si>
    <t>Prepaids</t>
  </si>
  <si>
    <t>PP&amp;E</t>
  </si>
  <si>
    <t>Lease</t>
  </si>
  <si>
    <t>Goodwill</t>
  </si>
  <si>
    <t>Deferred income</t>
  </si>
  <si>
    <t>Other</t>
  </si>
  <si>
    <t>Assets</t>
  </si>
  <si>
    <t>A/P</t>
  </si>
  <si>
    <t>Liabilties</t>
  </si>
  <si>
    <t>D/R</t>
  </si>
  <si>
    <t>S/E</t>
  </si>
  <si>
    <t>L+S/E</t>
  </si>
  <si>
    <t>Net cash</t>
  </si>
  <si>
    <t>Model NI</t>
  </si>
  <si>
    <t>Reported NI</t>
  </si>
  <si>
    <t>D&amp;A</t>
  </si>
  <si>
    <t>SBC</t>
  </si>
  <si>
    <t>Investment</t>
  </si>
  <si>
    <t>Working capital</t>
  </si>
  <si>
    <t>CFFO</t>
  </si>
  <si>
    <t>ONC</t>
  </si>
  <si>
    <t>Investments</t>
  </si>
  <si>
    <t>CFFI</t>
  </si>
  <si>
    <t>CapEx</t>
  </si>
  <si>
    <t>Buybacks</t>
  </si>
  <si>
    <t>CFFF</t>
  </si>
  <si>
    <t>FX</t>
  </si>
  <si>
    <t>CIC</t>
  </si>
  <si>
    <t>Acquisitions</t>
  </si>
  <si>
    <t>Subscribtion</t>
  </si>
  <si>
    <t>Q224</t>
  </si>
  <si>
    <t>Q324</t>
  </si>
  <si>
    <t>Q424</t>
  </si>
  <si>
    <t>Creative cloud</t>
  </si>
  <si>
    <t>Document cloud</t>
  </si>
  <si>
    <t>Adobe express</t>
  </si>
  <si>
    <t>Adobe firefly</t>
  </si>
  <si>
    <t>Adobe photoshop</t>
  </si>
  <si>
    <t>Illustrator</t>
  </si>
  <si>
    <t>Lightroom</t>
  </si>
  <si>
    <t>Premier pro</t>
  </si>
  <si>
    <t>Acrobat</t>
  </si>
  <si>
    <t>Acrobat sign</t>
  </si>
  <si>
    <t xml:space="preserve">Competitors </t>
  </si>
  <si>
    <t>FCF</t>
  </si>
  <si>
    <t>FCF TTM</t>
  </si>
  <si>
    <t>Accrued expense</t>
  </si>
  <si>
    <t>Digital Media segment</t>
  </si>
  <si>
    <t>Document Cloud</t>
  </si>
  <si>
    <t>Digital Experience segment</t>
  </si>
  <si>
    <t>Creative</t>
  </si>
  <si>
    <t>Digital Experience subscription</t>
  </si>
  <si>
    <t>Affinity (publishing and advertsing)</t>
  </si>
  <si>
    <t>CEO</t>
  </si>
  <si>
    <t>Shantanu Narayen</t>
  </si>
  <si>
    <t>Chairman</t>
  </si>
  <si>
    <t>Headquarters</t>
  </si>
  <si>
    <t>San Jose, California</t>
  </si>
  <si>
    <t>Founded</t>
  </si>
  <si>
    <t>Shantanu Narayen joined Adobe in 1998 as senior vice president of worldwide product development.</t>
  </si>
  <si>
    <t>From 2001 to 2005 he was executive vice president of worldwide products.</t>
  </si>
  <si>
    <t>In 2005 he was appointed president and chief operating officer.</t>
  </si>
  <si>
    <t>In December 2007 Bruce Chizen would step down as CEO by Shantanu Narayen</t>
  </si>
  <si>
    <t>Founders</t>
  </si>
  <si>
    <t>John Warnock</t>
  </si>
  <si>
    <t>In 1982 Steve Jobs bought 19% of the shares paying a five times multiple of their valuation at the time</t>
  </si>
  <si>
    <t>Term</t>
  </si>
  <si>
    <t>Dis</t>
  </si>
  <si>
    <t>NPV</t>
  </si>
  <si>
    <t>Value</t>
  </si>
  <si>
    <t>Upside</t>
  </si>
  <si>
    <t>Current</t>
  </si>
  <si>
    <t>Products</t>
  </si>
  <si>
    <t>Adobe, B2B photo editing, publishing, advertising</t>
  </si>
  <si>
    <t>Blackmagic, Davinci Resolve 19 (video editing)</t>
  </si>
  <si>
    <t>NI TTM</t>
  </si>
  <si>
    <t>Tangible return</t>
  </si>
  <si>
    <t>Input</t>
  </si>
  <si>
    <t>CAGR</t>
  </si>
  <si>
    <t># years</t>
  </si>
  <si>
    <t>Treasury stock reinssuance</t>
  </si>
  <si>
    <t>Equity award taxes</t>
  </si>
  <si>
    <t>D/T</t>
  </si>
  <si>
    <t>FCF-SBC</t>
  </si>
  <si>
    <t>FCF-SBC TTM</t>
  </si>
  <si>
    <t>FCF marge</t>
  </si>
  <si>
    <t>14%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</si>
</sst>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[$-413]d/mmm;@"/>
    <numFmt numFmtId="166" formatCode="#,##0_ ;[Red]\-#,##0\ "/>
  </numFmts>
  <fonts count="12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3" fontId="6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3" fontId="10" fillId="0" borderId="0" xfId="0" applyNumberFormat="1" applyFont="1"/>
    <xf numFmtId="4" fontId="9" fillId="0" borderId="0" xfId="0" applyNumberFormat="1" applyFont="1"/>
    <xf numFmtId="9" fontId="9" fillId="0" borderId="0" xfId="1" applyFont="1"/>
    <xf numFmtId="9" fontId="10" fillId="0" borderId="0" xfId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164" fontId="4" fillId="0" borderId="0" xfId="0" applyNumberFormat="1" applyFont="1"/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165" fontId="9" fillId="0" borderId="0" xfId="0" applyNumberFormat="1" applyFont="1"/>
    <xf numFmtId="165" fontId="9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2" fillId="0" borderId="0" xfId="0" applyNumberFormat="1" applyFont="1" applyAlignment="1">
      <alignment horizontal="left"/>
    </xf>
    <xf numFmtId="0" fontId="4" fillId="0" borderId="0" xfId="0" applyFont="1"/>
    <xf numFmtId="9" fontId="9" fillId="0" borderId="0" xfId="0" applyNumberFormat="1" applyFont="1"/>
    <xf numFmtId="9" fontId="2" fillId="0" borderId="0" xfId="1" applyFont="1"/>
    <xf numFmtId="3" fontId="9" fillId="0" borderId="0" xfId="1" applyNumberFormat="1" applyFont="1"/>
    <xf numFmtId="166" fontId="9" fillId="0" borderId="0" xfId="1" applyNumberFormat="1" applyFont="1"/>
    <xf numFmtId="3" fontId="1" fillId="0" borderId="0" xfId="0" applyNumberFormat="1" applyFont="1"/>
    <xf numFmtId="9" fontId="1" fillId="0" borderId="0" xfId="0" applyNumberFormat="1" applyFont="1"/>
    <xf numFmtId="9" fontId="10" fillId="0" borderId="0" xfId="0" applyNumberFormat="1" applyFont="1"/>
    <xf numFmtId="3" fontId="1" fillId="0" borderId="0" xfId="0" applyNumberFormat="1" applyFont="1" applyAlignment="1">
      <alignment horizontal="center"/>
    </xf>
    <xf numFmtId="3" fontId="10" fillId="2" borderId="1" xfId="0" applyNumberFormat="1" applyFont="1" applyFill="1" applyBorder="1" applyAlignment="1">
      <alignment horizontal="center"/>
    </xf>
    <xf numFmtId="9" fontId="2" fillId="0" borderId="5" xfId="1" applyFont="1" applyBorder="1"/>
    <xf numFmtId="4" fontId="2" fillId="0" borderId="6" xfId="1" applyNumberFormat="1" applyFont="1" applyBorder="1"/>
    <xf numFmtId="3" fontId="2" fillId="0" borderId="7" xfId="0" applyNumberFormat="1" applyFont="1" applyBorder="1"/>
    <xf numFmtId="4" fontId="9" fillId="0" borderId="8" xfId="0" applyNumberFormat="1" applyFont="1" applyBorder="1"/>
    <xf numFmtId="3" fontId="2" fillId="0" borderId="9" xfId="0" applyNumberFormat="1" applyFont="1" applyBorder="1"/>
    <xf numFmtId="9" fontId="9" fillId="0" borderId="10" xfId="0" applyNumberFormat="1" applyFont="1" applyBorder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9" fontId="10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9" fontId="10" fillId="2" borderId="2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9" fontId="9" fillId="2" borderId="3" xfId="0" applyNumberFormat="1" applyFont="1" applyFill="1" applyBorder="1" applyAlignment="1">
      <alignment horizontal="center"/>
    </xf>
    <xf numFmtId="9" fontId="9" fillId="2" borderId="4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99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447E6E-7257-D6DF-1FF1-9688DAB4F848}"/>
            </a:ext>
          </a:extLst>
        </xdr:cNvPr>
        <xdr:cNvCxnSpPr/>
      </xdr:nvCxnSpPr>
      <xdr:spPr>
        <a:xfrm>
          <a:off x="10201275" y="0"/>
          <a:ext cx="0" cy="1621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99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0CD9DC-467E-4A0D-B7BA-86BFF03E3007}"/>
            </a:ext>
          </a:extLst>
        </xdr:cNvPr>
        <xdr:cNvCxnSpPr/>
      </xdr:nvCxnSpPr>
      <xdr:spPr>
        <a:xfrm>
          <a:off x="17916525" y="0"/>
          <a:ext cx="0" cy="16487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A4D9-7D9A-4769-98F7-EEDA7E8188A1}">
  <dimension ref="A1:M1048576"/>
  <sheetViews>
    <sheetView workbookViewId="0">
      <selection activeCell="C20" sqref="C20"/>
    </sheetView>
  </sheetViews>
  <sheetFormatPr defaultRowHeight="12.75" x14ac:dyDescent="0.2"/>
  <cols>
    <col min="1" max="1" width="2.125" style="10" customWidth="1"/>
    <col min="2" max="2" width="14.125" style="10" customWidth="1"/>
    <col min="3" max="3" width="16.75" style="10" customWidth="1"/>
    <col min="4" max="10" width="8.875" style="10" customWidth="1"/>
    <col min="11" max="16384" width="9" style="10"/>
  </cols>
  <sheetData>
    <row r="1" spans="1:13" ht="34.5" x14ac:dyDescent="0.45">
      <c r="A1" s="1" t="e" vm="1">
        <v>#VALUE!</v>
      </c>
    </row>
    <row r="2" spans="1:13" x14ac:dyDescent="0.2">
      <c r="B2" s="17" t="s">
        <v>112</v>
      </c>
    </row>
    <row r="3" spans="1:13" x14ac:dyDescent="0.2">
      <c r="K3" s="10" t="s">
        <v>32</v>
      </c>
      <c r="L3" s="10">
        <v>405</v>
      </c>
    </row>
    <row r="4" spans="1:13" x14ac:dyDescent="0.2">
      <c r="B4" s="6" t="s">
        <v>111</v>
      </c>
      <c r="C4" s="6"/>
      <c r="D4" s="6"/>
      <c r="K4" s="10" t="s">
        <v>27</v>
      </c>
      <c r="L4" s="10">
        <v>440.2</v>
      </c>
      <c r="M4" s="14" t="s">
        <v>71</v>
      </c>
    </row>
    <row r="5" spans="1:13" x14ac:dyDescent="0.2">
      <c r="B5" s="10" t="s">
        <v>72</v>
      </c>
      <c r="K5" s="10" t="s">
        <v>33</v>
      </c>
      <c r="L5" s="10">
        <f>+L3*L4</f>
        <v>178281</v>
      </c>
      <c r="M5" s="11"/>
    </row>
    <row r="6" spans="1:13" x14ac:dyDescent="0.2">
      <c r="B6" s="10" t="s">
        <v>73</v>
      </c>
      <c r="K6" s="10" t="s">
        <v>34</v>
      </c>
      <c r="L6" s="10">
        <f>+Model!M39</f>
        <v>7886</v>
      </c>
      <c r="M6" s="14" t="s">
        <v>71</v>
      </c>
    </row>
    <row r="7" spans="1:13" x14ac:dyDescent="0.2">
      <c r="B7" s="10" t="s">
        <v>74</v>
      </c>
      <c r="D7" s="6"/>
      <c r="K7" s="10" t="s">
        <v>35</v>
      </c>
      <c r="L7" s="10">
        <f>+Model!M50</f>
        <v>5628</v>
      </c>
      <c r="M7" s="14" t="s">
        <v>71</v>
      </c>
    </row>
    <row r="8" spans="1:13" x14ac:dyDescent="0.2">
      <c r="B8" s="10" t="s">
        <v>75</v>
      </c>
      <c r="D8" s="17"/>
      <c r="K8" s="10" t="s">
        <v>36</v>
      </c>
      <c r="L8" s="10">
        <f>+L5-L6+L7</f>
        <v>176023</v>
      </c>
    </row>
    <row r="9" spans="1:13" x14ac:dyDescent="0.2">
      <c r="B9" s="10" t="s">
        <v>76</v>
      </c>
      <c r="L9" s="10">
        <v>8873</v>
      </c>
      <c r="M9" s="14"/>
    </row>
    <row r="10" spans="1:13" x14ac:dyDescent="0.2">
      <c r="B10" s="10" t="s">
        <v>77</v>
      </c>
      <c r="L10" s="12">
        <f>+L8/L9</f>
        <v>19.838048010819339</v>
      </c>
    </row>
    <row r="11" spans="1:13" x14ac:dyDescent="0.2">
      <c r="B11" s="10" t="s">
        <v>78</v>
      </c>
    </row>
    <row r="12" spans="1:13" x14ac:dyDescent="0.2">
      <c r="B12" s="10" t="s">
        <v>79</v>
      </c>
      <c r="K12" s="17" t="s">
        <v>97</v>
      </c>
      <c r="L12" s="20">
        <v>1982</v>
      </c>
    </row>
    <row r="13" spans="1:13" x14ac:dyDescent="0.2">
      <c r="B13" s="10" t="s">
        <v>80</v>
      </c>
      <c r="K13" s="17" t="s">
        <v>102</v>
      </c>
      <c r="L13" s="17" t="s">
        <v>103</v>
      </c>
    </row>
    <row r="14" spans="1:13" x14ac:dyDescent="0.2">
      <c r="B14" s="10" t="s">
        <v>81</v>
      </c>
      <c r="K14" s="17" t="s">
        <v>95</v>
      </c>
      <c r="L14" s="17" t="s">
        <v>96</v>
      </c>
    </row>
    <row r="15" spans="1:13" x14ac:dyDescent="0.2">
      <c r="K15" s="17" t="s">
        <v>92</v>
      </c>
      <c r="L15" s="17" t="s">
        <v>93</v>
      </c>
    </row>
    <row r="16" spans="1:13" x14ac:dyDescent="0.2">
      <c r="B16" s="6" t="s">
        <v>82</v>
      </c>
      <c r="K16" s="17" t="s">
        <v>94</v>
      </c>
      <c r="L16" s="17" t="s">
        <v>93</v>
      </c>
    </row>
    <row r="17" spans="2:11" x14ac:dyDescent="0.2">
      <c r="B17" s="25" t="s">
        <v>113</v>
      </c>
    </row>
    <row r="18" spans="2:11" x14ac:dyDescent="0.2">
      <c r="B18" s="17" t="s">
        <v>91</v>
      </c>
      <c r="K18" s="17" t="s">
        <v>98</v>
      </c>
    </row>
    <row r="19" spans="2:11" x14ac:dyDescent="0.2">
      <c r="K19" s="17" t="s">
        <v>99</v>
      </c>
    </row>
    <row r="20" spans="2:11" x14ac:dyDescent="0.2">
      <c r="K20" s="17" t="s">
        <v>100</v>
      </c>
    </row>
    <row r="21" spans="2:11" x14ac:dyDescent="0.2">
      <c r="K21" s="17" t="s">
        <v>101</v>
      </c>
    </row>
    <row r="23" spans="2:11" x14ac:dyDescent="0.2">
      <c r="K23" s="17" t="s">
        <v>104</v>
      </c>
    </row>
    <row r="1048576" spans="12:12" x14ac:dyDescent="0.2">
      <c r="L1048576" s="17"/>
    </row>
  </sheetData>
  <sortState xmlns:xlrd2="http://schemas.microsoft.com/office/spreadsheetml/2017/richdata2" ref="C17:C29">
    <sortCondition ref="C17:C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BC7A-5FEE-4718-86DB-6FE8E68C077A}">
  <dimension ref="A1:EF95"/>
  <sheetViews>
    <sheetView tabSelected="1" zoomScaleNormal="100" workbookViewId="0">
      <pane xSplit="1" ySplit="3" topLeftCell="U61" activePane="bottomRight" state="frozen"/>
      <selection pane="topRight" activeCell="B1" sqref="B1"/>
      <selection pane="bottomLeft" activeCell="A4" sqref="A4"/>
      <selection pane="bottomRight" activeCell="Y81" sqref="Y81"/>
    </sheetView>
  </sheetViews>
  <sheetFormatPr defaultRowHeight="12.75" x14ac:dyDescent="0.2"/>
  <cols>
    <col min="1" max="1" width="24.5" style="2" customWidth="1"/>
    <col min="2" max="7" width="9.125" style="2" bestFit="1" customWidth="1"/>
    <col min="8" max="8" width="9.5" style="2" bestFit="1" customWidth="1"/>
    <col min="9" max="9" width="9.125" style="2" bestFit="1" customWidth="1"/>
    <col min="10" max="11" width="9" style="2"/>
    <col min="12" max="12" width="8.75" style="2" customWidth="1"/>
    <col min="13" max="16" width="9" style="2"/>
    <col min="17" max="18" width="9.125" style="2" bestFit="1" customWidth="1"/>
    <col min="19" max="19" width="10.375" style="2" bestFit="1" customWidth="1"/>
    <col min="20" max="37" width="9.125" style="2" bestFit="1" customWidth="1"/>
    <col min="38" max="38" width="10.25" style="2" bestFit="1" customWidth="1"/>
    <col min="39" max="40" width="9.125" style="2" bestFit="1" customWidth="1"/>
    <col min="41" max="16384" width="9" style="2"/>
  </cols>
  <sheetData>
    <row r="1" spans="1:38" ht="34.5" x14ac:dyDescent="0.45">
      <c r="A1" s="1" t="s">
        <v>0</v>
      </c>
      <c r="Z1" s="45" t="s">
        <v>125</v>
      </c>
      <c r="AA1" s="45"/>
      <c r="AB1" s="45"/>
    </row>
    <row r="2" spans="1:38" s="16" customFormat="1" x14ac:dyDescent="0.2">
      <c r="A2" s="15" t="s">
        <v>9</v>
      </c>
      <c r="B2" s="16">
        <v>45720</v>
      </c>
      <c r="C2" s="16">
        <v>45811</v>
      </c>
      <c r="D2" s="16">
        <v>45902</v>
      </c>
      <c r="E2" s="16">
        <v>45993</v>
      </c>
      <c r="F2" s="16">
        <v>45720</v>
      </c>
      <c r="G2" s="16">
        <v>45810</v>
      </c>
      <c r="H2" s="16">
        <v>45901</v>
      </c>
      <c r="I2" s="16">
        <v>45992</v>
      </c>
      <c r="J2" s="16">
        <v>45717</v>
      </c>
      <c r="K2" s="16">
        <v>45808</v>
      </c>
      <c r="L2" s="16">
        <v>45899</v>
      </c>
      <c r="M2" s="16">
        <v>45990</v>
      </c>
    </row>
    <row r="3" spans="1:38" s="5" customFormat="1" x14ac:dyDescent="0.2">
      <c r="A3" s="4" t="s">
        <v>10</v>
      </c>
      <c r="B3" s="37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37</v>
      </c>
      <c r="K3" s="5" t="s">
        <v>69</v>
      </c>
      <c r="L3" s="5" t="s">
        <v>70</v>
      </c>
      <c r="M3" s="5" t="s">
        <v>71</v>
      </c>
      <c r="Q3" s="5">
        <v>2017</v>
      </c>
      <c r="R3" s="5">
        <v>2018</v>
      </c>
      <c r="S3" s="5">
        <v>2019</v>
      </c>
      <c r="T3" s="5">
        <v>2020</v>
      </c>
      <c r="U3" s="5">
        <f>+T3+1</f>
        <v>2021</v>
      </c>
      <c r="V3" s="5">
        <f t="shared" ref="V3:AI3" si="0">+U3+1</f>
        <v>2022</v>
      </c>
      <c r="W3" s="5">
        <f t="shared" si="0"/>
        <v>2023</v>
      </c>
      <c r="X3" s="5">
        <f t="shared" si="0"/>
        <v>2024</v>
      </c>
      <c r="Y3" s="5">
        <f t="shared" si="0"/>
        <v>2025</v>
      </c>
      <c r="Z3" s="5">
        <f t="shared" si="0"/>
        <v>2026</v>
      </c>
      <c r="AA3" s="5">
        <f t="shared" si="0"/>
        <v>2027</v>
      </c>
      <c r="AB3" s="5">
        <f t="shared" si="0"/>
        <v>2028</v>
      </c>
      <c r="AC3" s="5">
        <f t="shared" si="0"/>
        <v>2029</v>
      </c>
      <c r="AD3" s="5">
        <f t="shared" si="0"/>
        <v>2030</v>
      </c>
      <c r="AE3" s="5">
        <f t="shared" si="0"/>
        <v>2031</v>
      </c>
      <c r="AF3" s="5">
        <f t="shared" si="0"/>
        <v>2032</v>
      </c>
      <c r="AG3" s="5">
        <f t="shared" si="0"/>
        <v>2033</v>
      </c>
      <c r="AH3" s="5">
        <f t="shared" si="0"/>
        <v>2034</v>
      </c>
      <c r="AI3" s="5">
        <f t="shared" si="0"/>
        <v>2035</v>
      </c>
    </row>
    <row r="4" spans="1:38" s="3" customFormat="1" x14ac:dyDescent="0.2">
      <c r="A4" s="17" t="s">
        <v>86</v>
      </c>
      <c r="K4" s="3">
        <v>3910</v>
      </c>
      <c r="L4" s="3">
        <v>4000</v>
      </c>
      <c r="M4" s="3">
        <v>4150</v>
      </c>
      <c r="Y4" s="3">
        <v>1732</v>
      </c>
    </row>
    <row r="5" spans="1:38" s="3" customFormat="1" x14ac:dyDescent="0.2">
      <c r="A5" s="18" t="s">
        <v>89</v>
      </c>
      <c r="K5" s="3">
        <v>3130</v>
      </c>
      <c r="L5" s="3">
        <v>3190</v>
      </c>
      <c r="M5" s="3">
        <v>3300</v>
      </c>
    </row>
    <row r="6" spans="1:38" s="3" customFormat="1" x14ac:dyDescent="0.2">
      <c r="A6" s="18" t="s">
        <v>87</v>
      </c>
      <c r="K6" s="3">
        <v>782</v>
      </c>
      <c r="L6" s="3">
        <v>807</v>
      </c>
      <c r="M6" s="3">
        <v>843</v>
      </c>
    </row>
    <row r="7" spans="1:38" s="3" customFormat="1" x14ac:dyDescent="0.2">
      <c r="A7" s="19" t="s">
        <v>88</v>
      </c>
      <c r="K7" s="3">
        <v>1330</v>
      </c>
      <c r="L7" s="3">
        <v>1350</v>
      </c>
      <c r="M7" s="3">
        <v>1400</v>
      </c>
      <c r="Y7" s="3">
        <v>5850</v>
      </c>
    </row>
    <row r="8" spans="1:38" s="3" customFormat="1" x14ac:dyDescent="0.2">
      <c r="A8" s="18" t="s">
        <v>90</v>
      </c>
      <c r="K8" s="3">
        <v>1200</v>
      </c>
      <c r="L8" s="3">
        <v>1230</v>
      </c>
      <c r="M8" s="3">
        <v>1270</v>
      </c>
      <c r="Y8" s="3">
        <v>5400</v>
      </c>
    </row>
    <row r="9" spans="1:38" s="5" customFormat="1" x14ac:dyDescent="0.2">
      <c r="A9" s="4"/>
    </row>
    <row r="10" spans="1:38" x14ac:dyDescent="0.2">
      <c r="A10" s="2" t="s">
        <v>68</v>
      </c>
      <c r="B10" s="2">
        <v>3958</v>
      </c>
      <c r="C10" s="2">
        <v>4070</v>
      </c>
      <c r="D10" s="2">
        <v>4128</v>
      </c>
      <c r="E10" s="2">
        <f>+V10-SUM(B10:D10)</f>
        <v>4232</v>
      </c>
      <c r="F10" s="2">
        <v>4373</v>
      </c>
      <c r="G10" s="2">
        <v>4517</v>
      </c>
      <c r="H10" s="2">
        <v>4631</v>
      </c>
      <c r="I10" s="2">
        <f>+W10-SUM(F10:H10)</f>
        <v>4763</v>
      </c>
      <c r="J10" s="2">
        <v>4916</v>
      </c>
      <c r="K10" s="2">
        <v>5060</v>
      </c>
      <c r="L10" s="2">
        <v>5180</v>
      </c>
      <c r="M10" s="2">
        <v>5365</v>
      </c>
      <c r="Q10" s="2">
        <v>6133.8689999999997</v>
      </c>
      <c r="R10" s="2">
        <v>7922.152</v>
      </c>
      <c r="S10" s="2">
        <v>9994.4629999999997</v>
      </c>
      <c r="T10" s="2">
        <v>11626</v>
      </c>
      <c r="U10" s="2">
        <v>14573</v>
      </c>
      <c r="V10" s="2">
        <v>16388</v>
      </c>
      <c r="W10" s="2">
        <v>18284</v>
      </c>
      <c r="X10" s="2">
        <v>20521</v>
      </c>
    </row>
    <row r="11" spans="1:38" ht="13.5" thickBot="1" x14ac:dyDescent="0.25">
      <c r="A11" s="2" t="s">
        <v>12</v>
      </c>
      <c r="B11" s="2">
        <v>145</v>
      </c>
      <c r="C11" s="2">
        <v>146</v>
      </c>
      <c r="D11" s="2">
        <v>126</v>
      </c>
      <c r="E11" s="2">
        <f t="shared" ref="E11:E16" si="1">+V11-SUM(B11:D11)</f>
        <v>115</v>
      </c>
      <c r="F11" s="2">
        <v>120</v>
      </c>
      <c r="G11" s="2">
        <v>130</v>
      </c>
      <c r="H11" s="2">
        <v>96</v>
      </c>
      <c r="I11" s="2">
        <f>+W11-SUM(F11:H11)</f>
        <v>114</v>
      </c>
      <c r="J11" s="2">
        <v>119</v>
      </c>
      <c r="K11" s="2">
        <v>104</v>
      </c>
      <c r="L11" s="2">
        <v>82</v>
      </c>
      <c r="M11" s="2">
        <v>81</v>
      </c>
      <c r="Q11" s="2">
        <v>706.76700000000005</v>
      </c>
      <c r="R11" s="2">
        <v>622.15300000000002</v>
      </c>
      <c r="S11" s="2">
        <v>647.78800000000001</v>
      </c>
      <c r="T11" s="2">
        <v>507</v>
      </c>
      <c r="U11" s="2">
        <v>555</v>
      </c>
      <c r="V11" s="2">
        <v>532</v>
      </c>
      <c r="W11" s="2">
        <v>460</v>
      </c>
      <c r="X11" s="2">
        <v>386</v>
      </c>
    </row>
    <row r="12" spans="1:38" ht="13.5" thickBot="1" x14ac:dyDescent="0.25">
      <c r="A12" s="2" t="s">
        <v>13</v>
      </c>
      <c r="B12" s="2">
        <v>159</v>
      </c>
      <c r="C12" s="2">
        <v>170</v>
      </c>
      <c r="D12" s="2">
        <v>179</v>
      </c>
      <c r="E12" s="2">
        <f t="shared" si="1"/>
        <v>178</v>
      </c>
      <c r="F12" s="2">
        <v>162</v>
      </c>
      <c r="G12" s="2">
        <v>169</v>
      </c>
      <c r="H12" s="2">
        <v>163</v>
      </c>
      <c r="I12" s="2">
        <f>+W12-SUM(F12:H12)</f>
        <v>171</v>
      </c>
      <c r="J12" s="2">
        <v>147</v>
      </c>
      <c r="K12" s="2">
        <v>145</v>
      </c>
      <c r="L12" s="2">
        <v>146</v>
      </c>
      <c r="M12" s="2">
        <v>160</v>
      </c>
      <c r="O12" s="36" t="s">
        <v>117</v>
      </c>
      <c r="P12" s="28" t="s">
        <v>118</v>
      </c>
      <c r="Q12" s="2">
        <v>460.86900000000003</v>
      </c>
      <c r="R12" s="2">
        <v>485.70299999999997</v>
      </c>
      <c r="S12" s="2">
        <v>529.04600000000005</v>
      </c>
      <c r="T12" s="2">
        <v>735</v>
      </c>
      <c r="U12" s="2">
        <v>657</v>
      </c>
      <c r="V12" s="2">
        <v>686</v>
      </c>
      <c r="W12" s="2">
        <v>665</v>
      </c>
      <c r="X12" s="2">
        <v>598</v>
      </c>
      <c r="AL12" s="29" t="s">
        <v>116</v>
      </c>
    </row>
    <row r="13" spans="1:38" s="6" customFormat="1" x14ac:dyDescent="0.2">
      <c r="A13" s="6" t="s">
        <v>14</v>
      </c>
      <c r="B13" s="6">
        <f t="shared" ref="B13:K13" si="2">SUM(B10:B12)</f>
        <v>4262</v>
      </c>
      <c r="C13" s="6">
        <f t="shared" si="2"/>
        <v>4386</v>
      </c>
      <c r="D13" s="6">
        <f t="shared" si="2"/>
        <v>4433</v>
      </c>
      <c r="E13" s="6">
        <f t="shared" si="2"/>
        <v>4525</v>
      </c>
      <c r="F13" s="6">
        <f t="shared" si="2"/>
        <v>4655</v>
      </c>
      <c r="G13" s="6">
        <f t="shared" si="2"/>
        <v>4816</v>
      </c>
      <c r="H13" s="6">
        <f t="shared" si="2"/>
        <v>4890</v>
      </c>
      <c r="I13" s="6">
        <f t="shared" si="2"/>
        <v>5048</v>
      </c>
      <c r="J13" s="6">
        <f t="shared" si="2"/>
        <v>5182</v>
      </c>
      <c r="K13" s="6">
        <f t="shared" si="2"/>
        <v>5309</v>
      </c>
      <c r="L13" s="6">
        <f t="shared" ref="L13:M13" si="3">SUM(L10:L12)</f>
        <v>5408</v>
      </c>
      <c r="M13" s="6">
        <f t="shared" si="3"/>
        <v>5606</v>
      </c>
      <c r="O13" s="38">
        <f>+(X13/Q13)^(1/$P$13)-1</f>
        <v>0.1445661098978035</v>
      </c>
      <c r="P13" s="40">
        <v>8</v>
      </c>
      <c r="Q13" s="6">
        <f t="shared" ref="Q13:X13" si="4">SUM(Q10:Q12)</f>
        <v>7301.5049999999992</v>
      </c>
      <c r="R13" s="6">
        <f t="shared" si="4"/>
        <v>9030.0079999999998</v>
      </c>
      <c r="S13" s="6">
        <f t="shared" si="4"/>
        <v>11171.297</v>
      </c>
      <c r="T13" s="6">
        <f t="shared" si="4"/>
        <v>12868</v>
      </c>
      <c r="U13" s="6">
        <f t="shared" si="4"/>
        <v>15785</v>
      </c>
      <c r="V13" s="6">
        <f t="shared" si="4"/>
        <v>17606</v>
      </c>
      <c r="W13" s="6">
        <f t="shared" si="4"/>
        <v>19409</v>
      </c>
      <c r="X13" s="6">
        <f t="shared" si="4"/>
        <v>21505</v>
      </c>
      <c r="Y13" s="6">
        <v>23425</v>
      </c>
      <c r="Z13" s="6">
        <f>+Y13*1.14</f>
        <v>26704.499999999996</v>
      </c>
      <c r="AA13" s="6">
        <f t="shared" ref="AA13:AI13" si="5">+Z13*1.14</f>
        <v>30443.129999999994</v>
      </c>
      <c r="AB13" s="6">
        <f t="shared" si="5"/>
        <v>34705.168199999993</v>
      </c>
      <c r="AC13" s="6">
        <f t="shared" si="5"/>
        <v>39563.891747999987</v>
      </c>
      <c r="AD13" s="6">
        <f t="shared" si="5"/>
        <v>45102.836592719985</v>
      </c>
      <c r="AE13" s="6">
        <f t="shared" si="5"/>
        <v>51417.233715700779</v>
      </c>
      <c r="AF13" s="6">
        <f t="shared" si="5"/>
        <v>58615.646435898881</v>
      </c>
      <c r="AG13" s="6">
        <f t="shared" si="5"/>
        <v>66821.836936924723</v>
      </c>
      <c r="AH13" s="6">
        <f t="shared" si="5"/>
        <v>76176.894108094173</v>
      </c>
      <c r="AI13" s="6">
        <f t="shared" si="5"/>
        <v>86841.659283227345</v>
      </c>
      <c r="AK13" s="6" t="s">
        <v>14</v>
      </c>
      <c r="AL13" s="41">
        <v>0.14000000000000001</v>
      </c>
    </row>
    <row r="14" spans="1:38" x14ac:dyDescent="0.2">
      <c r="A14" s="2" t="s">
        <v>11</v>
      </c>
      <c r="B14" s="2">
        <v>393</v>
      </c>
      <c r="C14" s="2">
        <v>410</v>
      </c>
      <c r="D14" s="2">
        <v>413</v>
      </c>
      <c r="E14" s="2">
        <f t="shared" si="1"/>
        <v>430</v>
      </c>
      <c r="F14" s="2">
        <v>434</v>
      </c>
      <c r="G14" s="2">
        <v>436</v>
      </c>
      <c r="H14" s="2">
        <v>447</v>
      </c>
      <c r="I14" s="2">
        <f>+W14-SUM(F14:H14)</f>
        <v>505</v>
      </c>
      <c r="J14" s="2">
        <v>455</v>
      </c>
      <c r="K14" s="2">
        <v>456</v>
      </c>
      <c r="L14" s="2">
        <v>413</v>
      </c>
      <c r="M14" s="2">
        <v>475</v>
      </c>
      <c r="O14" s="39"/>
      <c r="P14" s="21"/>
      <c r="Q14" s="2">
        <v>623.048</v>
      </c>
      <c r="R14" s="2">
        <v>807.221</v>
      </c>
      <c r="S14" s="2">
        <v>1222.52</v>
      </c>
      <c r="T14" s="2">
        <v>1108</v>
      </c>
      <c r="U14" s="2">
        <v>1374</v>
      </c>
      <c r="V14" s="2">
        <v>1646</v>
      </c>
      <c r="W14" s="2">
        <v>1822</v>
      </c>
      <c r="X14" s="2">
        <v>1799</v>
      </c>
      <c r="AL14" s="42"/>
    </row>
    <row r="15" spans="1:38" x14ac:dyDescent="0.2">
      <c r="A15" s="2" t="s">
        <v>12</v>
      </c>
      <c r="B15" s="2">
        <v>10</v>
      </c>
      <c r="C15" s="2">
        <v>9</v>
      </c>
      <c r="D15" s="2">
        <v>8</v>
      </c>
      <c r="E15" s="2">
        <f t="shared" si="1"/>
        <v>8</v>
      </c>
      <c r="F15" s="2">
        <v>8</v>
      </c>
      <c r="G15" s="2">
        <v>8</v>
      </c>
      <c r="H15" s="2">
        <v>7</v>
      </c>
      <c r="I15" s="2">
        <f>+W15-SUM(F15:H15)</f>
        <v>6</v>
      </c>
      <c r="J15" s="2">
        <v>5</v>
      </c>
      <c r="K15" s="2">
        <v>8</v>
      </c>
      <c r="L15" s="2">
        <v>6</v>
      </c>
      <c r="M15" s="2">
        <v>6</v>
      </c>
      <c r="O15" s="39"/>
      <c r="P15" s="21"/>
      <c r="Q15" s="2">
        <v>57.082000000000001</v>
      </c>
      <c r="R15" s="2">
        <v>46.009</v>
      </c>
      <c r="S15" s="2">
        <v>39.625</v>
      </c>
      <c r="T15" s="2">
        <v>36</v>
      </c>
      <c r="U15" s="2">
        <v>41</v>
      </c>
      <c r="V15" s="2">
        <v>35</v>
      </c>
      <c r="W15" s="2">
        <v>29</v>
      </c>
      <c r="X15" s="2">
        <v>25</v>
      </c>
      <c r="AL15" s="42"/>
    </row>
    <row r="16" spans="1:38" x14ac:dyDescent="0.2">
      <c r="A16" s="2" t="s">
        <v>13</v>
      </c>
      <c r="B16" s="2">
        <v>109</v>
      </c>
      <c r="C16" s="2">
        <v>120</v>
      </c>
      <c r="D16" s="2">
        <v>125</v>
      </c>
      <c r="E16" s="2">
        <f t="shared" si="1"/>
        <v>130</v>
      </c>
      <c r="F16" s="2">
        <v>126</v>
      </c>
      <c r="G16" s="2">
        <v>128</v>
      </c>
      <c r="H16" s="2">
        <v>126</v>
      </c>
      <c r="I16" s="2">
        <f>+W16-SUM(F16:H16)</f>
        <v>123</v>
      </c>
      <c r="J16" s="2">
        <v>130</v>
      </c>
      <c r="K16" s="2">
        <v>134</v>
      </c>
      <c r="L16" s="2">
        <v>135</v>
      </c>
      <c r="M16" s="2">
        <v>135</v>
      </c>
      <c r="O16" s="39"/>
      <c r="P16" s="21"/>
      <c r="Q16" s="2">
        <v>330.36099999999999</v>
      </c>
      <c r="R16" s="2">
        <v>341.76900000000001</v>
      </c>
      <c r="S16" s="2">
        <v>410.57499999999999</v>
      </c>
      <c r="T16" s="2">
        <v>578</v>
      </c>
      <c r="U16" s="2">
        <v>450</v>
      </c>
      <c r="V16" s="2">
        <v>484</v>
      </c>
      <c r="W16" s="2">
        <v>503</v>
      </c>
      <c r="X16" s="2">
        <v>534</v>
      </c>
      <c r="AL16" s="42"/>
    </row>
    <row r="17" spans="1:136" x14ac:dyDescent="0.2">
      <c r="A17" s="2" t="s">
        <v>15</v>
      </c>
      <c r="B17" s="2">
        <f t="shared" ref="B17:K17" si="6">SUM(B14:B16)</f>
        <v>512</v>
      </c>
      <c r="C17" s="2">
        <f t="shared" si="6"/>
        <v>539</v>
      </c>
      <c r="D17" s="2">
        <f t="shared" si="6"/>
        <v>546</v>
      </c>
      <c r="E17" s="2">
        <f t="shared" si="6"/>
        <v>568</v>
      </c>
      <c r="F17" s="2">
        <f t="shared" si="6"/>
        <v>568</v>
      </c>
      <c r="G17" s="2">
        <f t="shared" si="6"/>
        <v>572</v>
      </c>
      <c r="H17" s="2">
        <f t="shared" si="6"/>
        <v>580</v>
      </c>
      <c r="I17" s="2">
        <f t="shared" si="6"/>
        <v>634</v>
      </c>
      <c r="J17" s="2">
        <f t="shared" si="6"/>
        <v>590</v>
      </c>
      <c r="K17" s="2">
        <f t="shared" si="6"/>
        <v>598</v>
      </c>
      <c r="L17" s="2">
        <f t="shared" ref="L17:M17" si="7">SUM(L14:L16)</f>
        <v>554</v>
      </c>
      <c r="M17" s="2">
        <f t="shared" si="7"/>
        <v>616</v>
      </c>
      <c r="O17" s="38">
        <f>+(X17/Q17)^(1/$P$13)-1</f>
        <v>0.11173535939198631</v>
      </c>
      <c r="P17" s="21"/>
      <c r="Q17" s="2">
        <f t="shared" ref="Q17:W17" si="8">SUM(Q14:Q16)</f>
        <v>1010.491</v>
      </c>
      <c r="R17" s="2">
        <f t="shared" si="8"/>
        <v>1194.999</v>
      </c>
      <c r="S17" s="2">
        <f t="shared" si="8"/>
        <v>1672.72</v>
      </c>
      <c r="T17" s="2">
        <f t="shared" si="8"/>
        <v>1722</v>
      </c>
      <c r="U17" s="2">
        <f t="shared" si="8"/>
        <v>1865</v>
      </c>
      <c r="V17" s="2">
        <f t="shared" si="8"/>
        <v>2165</v>
      </c>
      <c r="W17" s="2">
        <f t="shared" si="8"/>
        <v>2354</v>
      </c>
      <c r="X17" s="2">
        <f t="shared" ref="X17" si="9">SUM(X14:X16)</f>
        <v>2358</v>
      </c>
      <c r="Y17" s="2">
        <f>+X17*1.11</f>
        <v>2617.38</v>
      </c>
      <c r="Z17" s="2">
        <f t="shared" ref="Z17:AI17" si="10">+Y17*1.11</f>
        <v>2905.2918000000004</v>
      </c>
      <c r="AA17" s="2">
        <f t="shared" si="10"/>
        <v>3224.8738980000007</v>
      </c>
      <c r="AB17" s="2">
        <f t="shared" si="10"/>
        <v>3579.6100267800011</v>
      </c>
      <c r="AC17" s="2">
        <f t="shared" si="10"/>
        <v>3973.3671297258015</v>
      </c>
      <c r="AD17" s="2">
        <f t="shared" si="10"/>
        <v>4410.4375139956401</v>
      </c>
      <c r="AE17" s="2">
        <f t="shared" si="10"/>
        <v>4895.5856405351606</v>
      </c>
      <c r="AF17" s="2">
        <f t="shared" si="10"/>
        <v>5434.1000609940284</v>
      </c>
      <c r="AG17" s="2">
        <f t="shared" si="10"/>
        <v>6031.8510677033719</v>
      </c>
      <c r="AH17" s="2">
        <f t="shared" si="10"/>
        <v>6695.3546851507435</v>
      </c>
      <c r="AI17" s="2">
        <f t="shared" si="10"/>
        <v>7431.8437005173264</v>
      </c>
      <c r="AK17" s="2" t="s">
        <v>15</v>
      </c>
      <c r="AL17" s="43">
        <v>0.11</v>
      </c>
    </row>
    <row r="18" spans="1:136" x14ac:dyDescent="0.2">
      <c r="A18" s="2" t="s">
        <v>16</v>
      </c>
      <c r="B18" s="2">
        <f t="shared" ref="B18:K18" si="11">+B13-B17</f>
        <v>3750</v>
      </c>
      <c r="C18" s="2">
        <f t="shared" si="11"/>
        <v>3847</v>
      </c>
      <c r="D18" s="2">
        <f t="shared" si="11"/>
        <v>3887</v>
      </c>
      <c r="E18" s="2">
        <f t="shared" si="11"/>
        <v>3957</v>
      </c>
      <c r="F18" s="2">
        <f t="shared" si="11"/>
        <v>4087</v>
      </c>
      <c r="G18" s="2">
        <f t="shared" si="11"/>
        <v>4244</v>
      </c>
      <c r="H18" s="2">
        <f t="shared" si="11"/>
        <v>4310</v>
      </c>
      <c r="I18" s="2">
        <f t="shared" si="11"/>
        <v>4414</v>
      </c>
      <c r="J18" s="2">
        <f t="shared" si="11"/>
        <v>4592</v>
      </c>
      <c r="K18" s="2">
        <f t="shared" si="11"/>
        <v>4711</v>
      </c>
      <c r="L18" s="2">
        <f t="shared" ref="L18:M18" si="12">+L13-L17</f>
        <v>4854</v>
      </c>
      <c r="M18" s="2">
        <f t="shared" si="12"/>
        <v>4990</v>
      </c>
      <c r="O18" s="39"/>
      <c r="P18" s="21"/>
      <c r="Q18" s="2">
        <f t="shared" ref="Q18:W18" si="13">+Q13-Q17</f>
        <v>6291.0139999999992</v>
      </c>
      <c r="R18" s="2">
        <f t="shared" si="13"/>
        <v>7835.009</v>
      </c>
      <c r="S18" s="2">
        <f t="shared" si="13"/>
        <v>9498.5770000000011</v>
      </c>
      <c r="T18" s="2">
        <f t="shared" si="13"/>
        <v>11146</v>
      </c>
      <c r="U18" s="2">
        <f t="shared" si="13"/>
        <v>13920</v>
      </c>
      <c r="V18" s="2">
        <f t="shared" si="13"/>
        <v>15441</v>
      </c>
      <c r="W18" s="2">
        <f t="shared" si="13"/>
        <v>17055</v>
      </c>
      <c r="X18" s="2">
        <f t="shared" ref="X18:AI18" si="14">+X13-X17</f>
        <v>19147</v>
      </c>
      <c r="Y18" s="2">
        <f t="shared" si="14"/>
        <v>20807.62</v>
      </c>
      <c r="Z18" s="2">
        <f t="shared" si="14"/>
        <v>23799.208199999997</v>
      </c>
      <c r="AA18" s="2">
        <f t="shared" si="14"/>
        <v>27218.256101999992</v>
      </c>
      <c r="AB18" s="2">
        <f t="shared" si="14"/>
        <v>31125.558173219993</v>
      </c>
      <c r="AC18" s="2">
        <f t="shared" si="14"/>
        <v>35590.524618274183</v>
      </c>
      <c r="AD18" s="2">
        <f t="shared" si="14"/>
        <v>40692.399078724346</v>
      </c>
      <c r="AE18" s="2">
        <f t="shared" si="14"/>
        <v>46521.64807516562</v>
      </c>
      <c r="AF18" s="2">
        <f t="shared" si="14"/>
        <v>53181.54637490485</v>
      </c>
      <c r="AG18" s="2">
        <f t="shared" si="14"/>
        <v>60789.985869221353</v>
      </c>
      <c r="AH18" s="2">
        <f t="shared" si="14"/>
        <v>69481.539422943431</v>
      </c>
      <c r="AI18" s="2">
        <f t="shared" si="14"/>
        <v>79409.815582710013</v>
      </c>
      <c r="AL18" s="43"/>
    </row>
    <row r="19" spans="1:136" x14ac:dyDescent="0.2">
      <c r="A19" s="2" t="s">
        <v>17</v>
      </c>
      <c r="B19" s="2">
        <v>701</v>
      </c>
      <c r="C19" s="2">
        <v>738</v>
      </c>
      <c r="D19" s="2">
        <v>775</v>
      </c>
      <c r="E19" s="2">
        <f t="shared" ref="E19:E21" si="15">+V19-SUM(B19:D19)</f>
        <v>773</v>
      </c>
      <c r="F19" s="2">
        <v>827</v>
      </c>
      <c r="G19" s="2">
        <v>876</v>
      </c>
      <c r="H19" s="2">
        <v>881</v>
      </c>
      <c r="I19" s="2">
        <f t="shared" ref="I19:I21" si="16">+W19-SUM(F19:H19)</f>
        <v>889</v>
      </c>
      <c r="J19" s="2">
        <v>939</v>
      </c>
      <c r="K19" s="2">
        <v>984</v>
      </c>
      <c r="L19" s="2">
        <v>1022</v>
      </c>
      <c r="M19" s="2">
        <v>999</v>
      </c>
      <c r="O19" s="38">
        <f>+(X19/Q19)^(1/$P$13)-1</f>
        <v>0.15748885844644578</v>
      </c>
      <c r="P19" s="21"/>
      <c r="Q19" s="2">
        <v>1224.059</v>
      </c>
      <c r="R19" s="2">
        <v>1537.8119999999999</v>
      </c>
      <c r="S19" s="2">
        <v>1930.2280000000001</v>
      </c>
      <c r="T19" s="2">
        <v>2188</v>
      </c>
      <c r="U19" s="2">
        <v>2540</v>
      </c>
      <c r="V19" s="2">
        <v>2987</v>
      </c>
      <c r="W19" s="2">
        <v>3473</v>
      </c>
      <c r="X19" s="2">
        <v>3944</v>
      </c>
      <c r="Y19" s="2">
        <f>+X19*1.16</f>
        <v>4575.04</v>
      </c>
      <c r="Z19" s="2">
        <f t="shared" ref="Z19:AI19" si="17">+Y19*1.16</f>
        <v>5307.0463999999993</v>
      </c>
      <c r="AA19" s="2">
        <f t="shared" si="17"/>
        <v>6156.1738239999986</v>
      </c>
      <c r="AB19" s="2">
        <f t="shared" si="17"/>
        <v>7141.1616358399979</v>
      </c>
      <c r="AC19" s="2">
        <f t="shared" si="17"/>
        <v>8283.7474975743971</v>
      </c>
      <c r="AD19" s="2">
        <f t="shared" si="17"/>
        <v>9609.1470971863</v>
      </c>
      <c r="AE19" s="2">
        <f t="shared" si="17"/>
        <v>11146.610632736107</v>
      </c>
      <c r="AF19" s="2">
        <f t="shared" si="17"/>
        <v>12930.068333973883</v>
      </c>
      <c r="AG19" s="2">
        <f t="shared" si="17"/>
        <v>14998.879267409702</v>
      </c>
      <c r="AH19" s="2">
        <f t="shared" si="17"/>
        <v>17398.699950195252</v>
      </c>
      <c r="AI19" s="2">
        <f t="shared" si="17"/>
        <v>20182.49194222649</v>
      </c>
      <c r="AK19" s="2" t="s">
        <v>17</v>
      </c>
      <c r="AL19" s="43">
        <v>0.16</v>
      </c>
    </row>
    <row r="20" spans="1:136" x14ac:dyDescent="0.2">
      <c r="A20" s="2" t="s">
        <v>18</v>
      </c>
      <c r="B20" s="2">
        <v>1158</v>
      </c>
      <c r="C20" s="2">
        <v>1247</v>
      </c>
      <c r="D20" s="2">
        <v>1266</v>
      </c>
      <c r="E20" s="2">
        <f t="shared" si="15"/>
        <v>1297</v>
      </c>
      <c r="F20" s="2">
        <v>1301</v>
      </c>
      <c r="G20" s="2">
        <v>1345</v>
      </c>
      <c r="H20" s="2">
        <v>1337</v>
      </c>
      <c r="I20" s="2">
        <f t="shared" si="16"/>
        <v>1368</v>
      </c>
      <c r="J20" s="2">
        <v>1352</v>
      </c>
      <c r="K20" s="2">
        <v>1445</v>
      </c>
      <c r="L20" s="2">
        <v>1431</v>
      </c>
      <c r="M20" s="2">
        <v>1536</v>
      </c>
      <c r="O20" s="38">
        <f>+(X20/Q20)^(1/$P$13)-1</f>
        <v>0.12809873788947446</v>
      </c>
      <c r="P20" s="21"/>
      <c r="Q20" s="2">
        <v>2197.5920000000001</v>
      </c>
      <c r="R20" s="2">
        <v>2620.8290000000002</v>
      </c>
      <c r="S20" s="2">
        <v>3244.3470000000002</v>
      </c>
      <c r="T20" s="2">
        <v>3591</v>
      </c>
      <c r="U20" s="2">
        <v>4321</v>
      </c>
      <c r="V20" s="2">
        <v>4968</v>
      </c>
      <c r="W20" s="2">
        <v>5351</v>
      </c>
      <c r="X20" s="2">
        <v>5764</v>
      </c>
      <c r="Y20" s="2">
        <f>+X20*1.13</f>
        <v>6513.32</v>
      </c>
      <c r="Z20" s="2">
        <f t="shared" ref="Z20:AI20" si="18">+Y20*1.13</f>
        <v>7360.0515999999989</v>
      </c>
      <c r="AA20" s="2">
        <f t="shared" si="18"/>
        <v>8316.8583079999971</v>
      </c>
      <c r="AB20" s="2">
        <f t="shared" si="18"/>
        <v>9398.0498880399955</v>
      </c>
      <c r="AC20" s="2">
        <f t="shared" si="18"/>
        <v>10619.796373485195</v>
      </c>
      <c r="AD20" s="2">
        <f t="shared" si="18"/>
        <v>12000.369902038268</v>
      </c>
      <c r="AE20" s="2">
        <f t="shared" si="18"/>
        <v>13560.417989303241</v>
      </c>
      <c r="AF20" s="2">
        <f t="shared" si="18"/>
        <v>15323.272327912662</v>
      </c>
      <c r="AG20" s="2">
        <f t="shared" si="18"/>
        <v>17315.297730541308</v>
      </c>
      <c r="AH20" s="2">
        <f t="shared" si="18"/>
        <v>19566.286435511676</v>
      </c>
      <c r="AI20" s="2">
        <f t="shared" si="18"/>
        <v>22109.903672128192</v>
      </c>
      <c r="AK20" s="2" t="s">
        <v>18</v>
      </c>
      <c r="AL20" s="43">
        <v>0.13</v>
      </c>
    </row>
    <row r="21" spans="1:136" ht="13.5" thickBot="1" x14ac:dyDescent="0.25">
      <c r="A21" s="2" t="s">
        <v>19</v>
      </c>
      <c r="B21" s="2">
        <v>269</v>
      </c>
      <c r="C21" s="2">
        <v>291</v>
      </c>
      <c r="D21" s="2">
        <v>319</v>
      </c>
      <c r="E21" s="2">
        <f t="shared" si="15"/>
        <v>340</v>
      </c>
      <c r="F21" s="2">
        <v>331</v>
      </c>
      <c r="G21" s="2">
        <v>357</v>
      </c>
      <c r="H21" s="2">
        <v>353</v>
      </c>
      <c r="I21" s="2">
        <f t="shared" si="16"/>
        <v>372</v>
      </c>
      <c r="J21" s="2">
        <v>352</v>
      </c>
      <c r="K21" s="2">
        <v>355</v>
      </c>
      <c r="L21" s="2">
        <v>366</v>
      </c>
      <c r="M21" s="2">
        <v>456</v>
      </c>
      <c r="O21" s="38">
        <f>+(X21/Q21)^(1/$P$13)-1</f>
        <v>0.11838536679441947</v>
      </c>
      <c r="P21" s="21"/>
      <c r="Q21" s="2">
        <v>624.70600000000002</v>
      </c>
      <c r="R21" s="2">
        <v>744.89800000000002</v>
      </c>
      <c r="S21" s="2">
        <v>880.63699999999994</v>
      </c>
      <c r="T21" s="2">
        <v>968</v>
      </c>
      <c r="U21" s="2">
        <v>1085</v>
      </c>
      <c r="V21" s="2">
        <v>1219</v>
      </c>
      <c r="W21" s="2">
        <v>1413</v>
      </c>
      <c r="X21" s="2">
        <v>1529</v>
      </c>
      <c r="Y21" s="2">
        <f>+X21*1.12</f>
        <v>1712.4800000000002</v>
      </c>
      <c r="Z21" s="2">
        <f t="shared" ref="Z21:AI21" si="19">+Y21*1.12</f>
        <v>1917.9776000000004</v>
      </c>
      <c r="AA21" s="2">
        <f t="shared" si="19"/>
        <v>2148.1349120000004</v>
      </c>
      <c r="AB21" s="2">
        <f t="shared" si="19"/>
        <v>2405.9111014400009</v>
      </c>
      <c r="AC21" s="2">
        <f t="shared" si="19"/>
        <v>2694.6204336128012</v>
      </c>
      <c r="AD21" s="2">
        <f t="shared" si="19"/>
        <v>3017.9748856463375</v>
      </c>
      <c r="AE21" s="2">
        <f t="shared" si="19"/>
        <v>3380.1318719238984</v>
      </c>
      <c r="AF21" s="2">
        <f t="shared" si="19"/>
        <v>3785.7476965547667</v>
      </c>
      <c r="AG21" s="2">
        <f t="shared" si="19"/>
        <v>4240.0374201413388</v>
      </c>
      <c r="AH21" s="2">
        <f t="shared" si="19"/>
        <v>4748.8419105582998</v>
      </c>
      <c r="AI21" s="2">
        <f t="shared" si="19"/>
        <v>5318.7029398252962</v>
      </c>
      <c r="AK21" s="2" t="s">
        <v>19</v>
      </c>
      <c r="AL21" s="44">
        <v>0.12</v>
      </c>
    </row>
    <row r="22" spans="1:136" x14ac:dyDescent="0.2">
      <c r="A22" s="2" t="s">
        <v>20</v>
      </c>
      <c r="B22" s="2">
        <f t="shared" ref="B22:J22" si="20">SUM(B19:B21)</f>
        <v>2128</v>
      </c>
      <c r="C22" s="2">
        <f t="shared" si="20"/>
        <v>2276</v>
      </c>
      <c r="D22" s="2">
        <f t="shared" si="20"/>
        <v>2360</v>
      </c>
      <c r="E22" s="2">
        <f t="shared" si="20"/>
        <v>2410</v>
      </c>
      <c r="F22" s="2">
        <f t="shared" si="20"/>
        <v>2459</v>
      </c>
      <c r="G22" s="2">
        <f t="shared" si="20"/>
        <v>2578</v>
      </c>
      <c r="H22" s="2">
        <f t="shared" si="20"/>
        <v>2571</v>
      </c>
      <c r="I22" s="2">
        <f t="shared" si="20"/>
        <v>2629</v>
      </c>
      <c r="J22" s="2">
        <f t="shared" si="20"/>
        <v>2643</v>
      </c>
      <c r="K22" s="2">
        <f t="shared" ref="K22:L22" si="21">SUM(K19:K21)</f>
        <v>2784</v>
      </c>
      <c r="L22" s="2">
        <f t="shared" si="21"/>
        <v>2819</v>
      </c>
      <c r="M22" s="2">
        <f t="shared" ref="M22" si="22">SUM(M19:M21)</f>
        <v>2991</v>
      </c>
      <c r="P22" s="21"/>
      <c r="Q22" s="2">
        <f t="shared" ref="Q22:W22" si="23">SUM(Q19:Q21)</f>
        <v>4046.357</v>
      </c>
      <c r="R22" s="2">
        <f t="shared" si="23"/>
        <v>4903.5389999999998</v>
      </c>
      <c r="S22" s="2">
        <f t="shared" si="23"/>
        <v>6055.2120000000004</v>
      </c>
      <c r="T22" s="2">
        <f t="shared" si="23"/>
        <v>6747</v>
      </c>
      <c r="U22" s="2">
        <f t="shared" si="23"/>
        <v>7946</v>
      </c>
      <c r="V22" s="2">
        <f t="shared" si="23"/>
        <v>9174</v>
      </c>
      <c r="W22" s="2">
        <f t="shared" si="23"/>
        <v>10237</v>
      </c>
      <c r="X22" s="2">
        <f t="shared" ref="X22:AI22" si="24">SUM(X19:X21)</f>
        <v>11237</v>
      </c>
      <c r="Y22" s="2">
        <f t="shared" si="24"/>
        <v>12800.84</v>
      </c>
      <c r="Z22" s="2">
        <f t="shared" si="24"/>
        <v>14585.075599999998</v>
      </c>
      <c r="AA22" s="2">
        <f t="shared" si="24"/>
        <v>16621.167043999998</v>
      </c>
      <c r="AB22" s="2">
        <f t="shared" si="24"/>
        <v>18945.122625319993</v>
      </c>
      <c r="AC22" s="2">
        <f t="shared" si="24"/>
        <v>21598.164304672391</v>
      </c>
      <c r="AD22" s="2">
        <f t="shared" si="24"/>
        <v>24627.491884870906</v>
      </c>
      <c r="AE22" s="2">
        <f t="shared" si="24"/>
        <v>28087.160493963245</v>
      </c>
      <c r="AF22" s="2">
        <f t="shared" si="24"/>
        <v>32039.08835844131</v>
      </c>
      <c r="AG22" s="2">
        <f t="shared" si="24"/>
        <v>36554.21441809235</v>
      </c>
      <c r="AH22" s="2">
        <f t="shared" si="24"/>
        <v>41713.82829626523</v>
      </c>
      <c r="AI22" s="2">
        <f t="shared" si="24"/>
        <v>47611.098554179975</v>
      </c>
    </row>
    <row r="23" spans="1:136" s="6" customFormat="1" x14ac:dyDescent="0.2">
      <c r="A23" s="6" t="s">
        <v>21</v>
      </c>
      <c r="B23" s="6">
        <f t="shared" ref="B23:J23" si="25">+B18-B22</f>
        <v>1622</v>
      </c>
      <c r="C23" s="6">
        <f t="shared" si="25"/>
        <v>1571</v>
      </c>
      <c r="D23" s="6">
        <f t="shared" si="25"/>
        <v>1527</v>
      </c>
      <c r="E23" s="6">
        <f t="shared" si="25"/>
        <v>1547</v>
      </c>
      <c r="F23" s="6">
        <f t="shared" si="25"/>
        <v>1628</v>
      </c>
      <c r="G23" s="6">
        <f t="shared" si="25"/>
        <v>1666</v>
      </c>
      <c r="H23" s="6">
        <f t="shared" si="25"/>
        <v>1739</v>
      </c>
      <c r="I23" s="6">
        <f t="shared" si="25"/>
        <v>1785</v>
      </c>
      <c r="J23" s="6">
        <f t="shared" si="25"/>
        <v>1949</v>
      </c>
      <c r="K23" s="6">
        <f t="shared" ref="K23:L23" si="26">+K18-K22</f>
        <v>1927</v>
      </c>
      <c r="L23" s="6">
        <f t="shared" si="26"/>
        <v>2035</v>
      </c>
      <c r="M23" s="6">
        <f t="shared" ref="M23" si="27">+M18-M22</f>
        <v>1999</v>
      </c>
      <c r="P23" s="27"/>
      <c r="Q23" s="6">
        <f t="shared" ref="Q23:W23" si="28">+Q18-Q22</f>
        <v>2244.6569999999992</v>
      </c>
      <c r="R23" s="6">
        <f t="shared" si="28"/>
        <v>2931.4700000000003</v>
      </c>
      <c r="S23" s="6">
        <f t="shared" si="28"/>
        <v>3443.3650000000007</v>
      </c>
      <c r="T23" s="6">
        <f t="shared" si="28"/>
        <v>4399</v>
      </c>
      <c r="U23" s="6">
        <f t="shared" si="28"/>
        <v>5974</v>
      </c>
      <c r="V23" s="6">
        <f t="shared" si="28"/>
        <v>6267</v>
      </c>
      <c r="W23" s="6">
        <f t="shared" si="28"/>
        <v>6818</v>
      </c>
      <c r="X23" s="6">
        <f t="shared" ref="X23:AI23" si="29">+X18-X22</f>
        <v>7910</v>
      </c>
      <c r="Y23" s="6">
        <f t="shared" si="29"/>
        <v>8006.7799999999988</v>
      </c>
      <c r="Z23" s="6">
        <f t="shared" si="29"/>
        <v>9214.132599999999</v>
      </c>
      <c r="AA23" s="6">
        <f t="shared" si="29"/>
        <v>10597.089057999994</v>
      </c>
      <c r="AB23" s="6">
        <f t="shared" si="29"/>
        <v>12180.435547900001</v>
      </c>
      <c r="AC23" s="6">
        <f t="shared" si="29"/>
        <v>13992.360313601792</v>
      </c>
      <c r="AD23" s="6">
        <f t="shared" si="29"/>
        <v>16064.90719385344</v>
      </c>
      <c r="AE23" s="6">
        <f t="shared" si="29"/>
        <v>18434.487581202375</v>
      </c>
      <c r="AF23" s="6">
        <f t="shared" si="29"/>
        <v>21142.458016463541</v>
      </c>
      <c r="AG23" s="6">
        <f t="shared" si="29"/>
        <v>24235.771451129003</v>
      </c>
      <c r="AH23" s="6">
        <f t="shared" si="29"/>
        <v>27767.711126678201</v>
      </c>
      <c r="AI23" s="6">
        <f t="shared" si="29"/>
        <v>31798.717028530038</v>
      </c>
    </row>
    <row r="24" spans="1:136" x14ac:dyDescent="0.2">
      <c r="A24" s="2" t="s">
        <v>22</v>
      </c>
      <c r="B24" s="2">
        <v>-28</v>
      </c>
      <c r="C24" s="2">
        <v>-28</v>
      </c>
      <c r="D24" s="2">
        <v>-28</v>
      </c>
      <c r="E24" s="2">
        <f t="shared" ref="E24:E26" si="30">+V24-SUM(B24:D24)</f>
        <v>-28</v>
      </c>
      <c r="F24" s="2">
        <v>-32</v>
      </c>
      <c r="G24" s="2">
        <v>-26</v>
      </c>
      <c r="H24" s="2">
        <v>-27</v>
      </c>
      <c r="I24" s="2">
        <f t="shared" ref="I24:I26" si="31">+W24-SUM(F24:H24)</f>
        <v>-28</v>
      </c>
      <c r="J24" s="2">
        <v>-27</v>
      </c>
      <c r="K24" s="2">
        <v>-41</v>
      </c>
      <c r="L24" s="2">
        <v>-51</v>
      </c>
      <c r="M24" s="2">
        <v>-50</v>
      </c>
      <c r="O24" s="38">
        <f>+(X24/Q24)^(1/$P$13)-1</f>
        <v>0.1079949011514294</v>
      </c>
      <c r="P24" s="21"/>
      <c r="Q24" s="2">
        <v>-74.402000000000001</v>
      </c>
      <c r="R24" s="2">
        <v>-89.242000000000004</v>
      </c>
      <c r="S24" s="2">
        <v>-157.214</v>
      </c>
      <c r="T24" s="2">
        <v>-116</v>
      </c>
      <c r="U24" s="2">
        <v>-113</v>
      </c>
      <c r="V24" s="2">
        <v>-112</v>
      </c>
      <c r="W24" s="2">
        <v>-113</v>
      </c>
      <c r="X24" s="2">
        <v>-169</v>
      </c>
      <c r="Y24" s="2">
        <f>+X24*1.11</f>
        <v>-187.59</v>
      </c>
      <c r="Z24" s="2">
        <f t="shared" ref="Z24:AI24" si="32">+Y24*1.11</f>
        <v>-208.22490000000002</v>
      </c>
      <c r="AA24" s="2">
        <f t="shared" si="32"/>
        <v>-231.12963900000005</v>
      </c>
      <c r="AB24" s="2">
        <f t="shared" si="32"/>
        <v>-256.55389929000006</v>
      </c>
      <c r="AC24" s="2">
        <f t="shared" si="32"/>
        <v>-284.77482821190011</v>
      </c>
      <c r="AD24" s="2">
        <f t="shared" si="32"/>
        <v>-316.10005931520914</v>
      </c>
      <c r="AE24" s="2">
        <f t="shared" si="32"/>
        <v>-350.87106583988219</v>
      </c>
      <c r="AF24" s="2">
        <f t="shared" si="32"/>
        <v>-389.46688308226925</v>
      </c>
      <c r="AG24" s="2">
        <f t="shared" si="32"/>
        <v>-432.3082402213189</v>
      </c>
      <c r="AH24" s="2">
        <f t="shared" si="32"/>
        <v>-479.86214664566404</v>
      </c>
      <c r="AI24" s="2">
        <f t="shared" si="32"/>
        <v>-532.64698277668708</v>
      </c>
    </row>
    <row r="25" spans="1:136" x14ac:dyDescent="0.2">
      <c r="A25" s="2" t="s">
        <v>23</v>
      </c>
      <c r="B25" s="2">
        <f t="shared" ref="B25:M25" si="33">SUM(B23:B24)</f>
        <v>1594</v>
      </c>
      <c r="C25" s="2">
        <f t="shared" si="33"/>
        <v>1543</v>
      </c>
      <c r="D25" s="2">
        <f t="shared" si="33"/>
        <v>1499</v>
      </c>
      <c r="E25" s="2">
        <f t="shared" si="33"/>
        <v>1519</v>
      </c>
      <c r="F25" s="2">
        <f t="shared" si="33"/>
        <v>1596</v>
      </c>
      <c r="G25" s="2">
        <f t="shared" si="33"/>
        <v>1640</v>
      </c>
      <c r="H25" s="2">
        <f t="shared" si="33"/>
        <v>1712</v>
      </c>
      <c r="I25" s="2">
        <f t="shared" si="33"/>
        <v>1757</v>
      </c>
      <c r="J25" s="2">
        <f t="shared" si="33"/>
        <v>1922</v>
      </c>
      <c r="K25" s="2">
        <f t="shared" si="33"/>
        <v>1886</v>
      </c>
      <c r="L25" s="2">
        <f t="shared" si="33"/>
        <v>1984</v>
      </c>
      <c r="M25" s="2">
        <f t="shared" si="33"/>
        <v>1949</v>
      </c>
      <c r="P25" s="21"/>
      <c r="Q25" s="2">
        <f t="shared" ref="Q25:X25" si="34">SUM(Q23:Q24)</f>
        <v>2170.2549999999992</v>
      </c>
      <c r="R25" s="2">
        <f t="shared" si="34"/>
        <v>2842.2280000000001</v>
      </c>
      <c r="S25" s="2">
        <f t="shared" si="34"/>
        <v>3286.1510000000007</v>
      </c>
      <c r="T25" s="2">
        <f t="shared" si="34"/>
        <v>4283</v>
      </c>
      <c r="U25" s="2">
        <f t="shared" si="34"/>
        <v>5861</v>
      </c>
      <c r="V25" s="2">
        <f t="shared" si="34"/>
        <v>6155</v>
      </c>
      <c r="W25" s="2">
        <f t="shared" si="34"/>
        <v>6705</v>
      </c>
      <c r="X25" s="2">
        <f t="shared" si="34"/>
        <v>7741</v>
      </c>
      <c r="Y25" s="2">
        <f t="shared" ref="Y25:AI25" si="35">SUM(Y23:Y24)</f>
        <v>7819.1899999999987</v>
      </c>
      <c r="Z25" s="2">
        <f t="shared" si="35"/>
        <v>9005.9076999999997</v>
      </c>
      <c r="AA25" s="2">
        <f t="shared" si="35"/>
        <v>10365.959418999993</v>
      </c>
      <c r="AB25" s="2">
        <f t="shared" si="35"/>
        <v>11923.88164861</v>
      </c>
      <c r="AC25" s="2">
        <f t="shared" si="35"/>
        <v>13707.585485389891</v>
      </c>
      <c r="AD25" s="2">
        <f t="shared" si="35"/>
        <v>15748.80713453823</v>
      </c>
      <c r="AE25" s="2">
        <f t="shared" si="35"/>
        <v>18083.616515362493</v>
      </c>
      <c r="AF25" s="2">
        <f t="shared" si="35"/>
        <v>20752.991133381271</v>
      </c>
      <c r="AG25" s="2">
        <f t="shared" si="35"/>
        <v>23803.463210907685</v>
      </c>
      <c r="AH25" s="2">
        <f t="shared" si="35"/>
        <v>27287.848980032537</v>
      </c>
      <c r="AI25" s="2">
        <f t="shared" si="35"/>
        <v>31266.070045753349</v>
      </c>
    </row>
    <row r="26" spans="1:136" x14ac:dyDescent="0.2">
      <c r="A26" s="2" t="s">
        <v>24</v>
      </c>
      <c r="B26" s="2">
        <v>277</v>
      </c>
      <c r="C26" s="2">
        <v>314</v>
      </c>
      <c r="D26" s="2">
        <v>320</v>
      </c>
      <c r="E26" s="2">
        <f t="shared" si="30"/>
        <v>341</v>
      </c>
      <c r="F26" s="2">
        <v>351</v>
      </c>
      <c r="G26" s="2">
        <v>355</v>
      </c>
      <c r="H26" s="2">
        <v>340</v>
      </c>
      <c r="I26" s="2">
        <f t="shared" si="31"/>
        <v>325</v>
      </c>
      <c r="J26" s="2">
        <v>348</v>
      </c>
      <c r="K26" s="2">
        <v>357</v>
      </c>
      <c r="L26" s="2">
        <v>358</v>
      </c>
      <c r="M26" s="2">
        <v>308</v>
      </c>
      <c r="P26" s="21"/>
      <c r="Q26" s="2">
        <v>443.68700000000001</v>
      </c>
      <c r="R26" s="2">
        <v>203.102</v>
      </c>
      <c r="S26" s="2">
        <v>253.28299999999999</v>
      </c>
      <c r="T26" s="2">
        <v>-1084</v>
      </c>
      <c r="U26" s="2">
        <v>883</v>
      </c>
      <c r="V26" s="2">
        <v>1252</v>
      </c>
      <c r="W26" s="2">
        <v>1371</v>
      </c>
      <c r="X26" s="2">
        <v>1371</v>
      </c>
      <c r="Y26" s="2">
        <f>+Y25*0.2</f>
        <v>1563.8379999999997</v>
      </c>
      <c r="Z26" s="2">
        <f t="shared" ref="Z26:AI26" si="36">+Z25*0.2</f>
        <v>1801.18154</v>
      </c>
      <c r="AA26" s="2">
        <f t="shared" si="36"/>
        <v>2073.1918837999988</v>
      </c>
      <c r="AB26" s="2">
        <f t="shared" si="36"/>
        <v>2384.7763297220004</v>
      </c>
      <c r="AC26" s="2">
        <f t="shared" si="36"/>
        <v>2741.5170970779782</v>
      </c>
      <c r="AD26" s="2">
        <f t="shared" si="36"/>
        <v>3149.7614269076462</v>
      </c>
      <c r="AE26" s="2">
        <f t="shared" si="36"/>
        <v>3616.7233030724988</v>
      </c>
      <c r="AF26" s="2">
        <f t="shared" si="36"/>
        <v>4150.5982266762539</v>
      </c>
      <c r="AG26" s="2">
        <f t="shared" si="36"/>
        <v>4760.6926421815369</v>
      </c>
      <c r="AH26" s="2">
        <f t="shared" si="36"/>
        <v>5457.5697960065081</v>
      </c>
      <c r="AI26" s="2">
        <f t="shared" si="36"/>
        <v>6253.2140091506699</v>
      </c>
      <c r="AL26" s="21"/>
    </row>
    <row r="27" spans="1:136" s="6" customFormat="1" x14ac:dyDescent="0.2">
      <c r="A27" s="6" t="s">
        <v>25</v>
      </c>
      <c r="B27" s="6">
        <f t="shared" ref="B27:K27" si="37">+B25-B26</f>
        <v>1317</v>
      </c>
      <c r="C27" s="6">
        <f t="shared" si="37"/>
        <v>1229</v>
      </c>
      <c r="D27" s="6">
        <f t="shared" si="37"/>
        <v>1179</v>
      </c>
      <c r="E27" s="6">
        <f t="shared" si="37"/>
        <v>1178</v>
      </c>
      <c r="F27" s="6">
        <f t="shared" si="37"/>
        <v>1245</v>
      </c>
      <c r="G27" s="6">
        <f t="shared" si="37"/>
        <v>1285</v>
      </c>
      <c r="H27" s="6">
        <f t="shared" si="37"/>
        <v>1372</v>
      </c>
      <c r="I27" s="6">
        <f t="shared" si="37"/>
        <v>1432</v>
      </c>
      <c r="J27" s="6">
        <f t="shared" si="37"/>
        <v>1574</v>
      </c>
      <c r="K27" s="6">
        <f t="shared" si="37"/>
        <v>1529</v>
      </c>
      <c r="L27" s="6">
        <f t="shared" ref="L27:M27" si="38">+L25-L26</f>
        <v>1626</v>
      </c>
      <c r="M27" s="6">
        <f t="shared" si="38"/>
        <v>1641</v>
      </c>
      <c r="O27" s="27"/>
      <c r="P27" s="27"/>
      <c r="Q27" s="6">
        <f t="shared" ref="Q27:AI27" si="39">+Q25-Q26</f>
        <v>1726.5679999999993</v>
      </c>
      <c r="R27" s="6">
        <f t="shared" si="39"/>
        <v>2639.1260000000002</v>
      </c>
      <c r="S27" s="6">
        <f t="shared" si="39"/>
        <v>3032.8680000000008</v>
      </c>
      <c r="T27" s="6">
        <f t="shared" si="39"/>
        <v>5367</v>
      </c>
      <c r="U27" s="6">
        <f t="shared" si="39"/>
        <v>4978</v>
      </c>
      <c r="V27" s="6">
        <f t="shared" si="39"/>
        <v>4903</v>
      </c>
      <c r="W27" s="6">
        <f t="shared" si="39"/>
        <v>5334</v>
      </c>
      <c r="X27" s="6">
        <f t="shared" si="39"/>
        <v>6370</v>
      </c>
      <c r="Y27" s="6">
        <f t="shared" si="39"/>
        <v>6255.351999999999</v>
      </c>
      <c r="Z27" s="6">
        <f t="shared" si="39"/>
        <v>7204.7261600000002</v>
      </c>
      <c r="AA27" s="6">
        <f t="shared" si="39"/>
        <v>8292.7675351999951</v>
      </c>
      <c r="AB27" s="6">
        <f t="shared" si="39"/>
        <v>9539.1053188879996</v>
      </c>
      <c r="AC27" s="6">
        <f t="shared" si="39"/>
        <v>10966.068388311913</v>
      </c>
      <c r="AD27" s="6">
        <f t="shared" si="39"/>
        <v>12599.045707630585</v>
      </c>
      <c r="AE27" s="6">
        <f t="shared" si="39"/>
        <v>14466.893212289995</v>
      </c>
      <c r="AF27" s="6">
        <f t="shared" si="39"/>
        <v>16602.392906705016</v>
      </c>
      <c r="AG27" s="6">
        <f t="shared" si="39"/>
        <v>19042.770568726148</v>
      </c>
      <c r="AH27" s="6">
        <f t="shared" si="39"/>
        <v>21830.279184026029</v>
      </c>
      <c r="AI27" s="6">
        <f t="shared" si="39"/>
        <v>25012.85603660268</v>
      </c>
      <c r="AJ27" s="6">
        <f>+AI27*(1+$AL$31)</f>
        <v>24512.598915870625</v>
      </c>
      <c r="AK27" s="6">
        <f t="shared" ref="AK27:CV27" si="40">+AJ27*(1+$AL$31)</f>
        <v>24022.346937553211</v>
      </c>
      <c r="AL27" s="6">
        <f t="shared" si="40"/>
        <v>23541.899998802146</v>
      </c>
      <c r="AM27" s="6">
        <f t="shared" si="40"/>
        <v>23071.061998826102</v>
      </c>
      <c r="AN27" s="6">
        <f t="shared" si="40"/>
        <v>22609.640758849579</v>
      </c>
      <c r="AO27" s="6">
        <f t="shared" si="40"/>
        <v>22157.447943672585</v>
      </c>
      <c r="AP27" s="6">
        <f t="shared" si="40"/>
        <v>21714.298984799134</v>
      </c>
      <c r="AQ27" s="6">
        <f t="shared" si="40"/>
        <v>21280.013005103152</v>
      </c>
      <c r="AR27" s="6">
        <f t="shared" si="40"/>
        <v>20854.412745001089</v>
      </c>
      <c r="AS27" s="6">
        <f t="shared" si="40"/>
        <v>20437.324490101066</v>
      </c>
      <c r="AT27" s="6">
        <f t="shared" si="40"/>
        <v>20028.578000299043</v>
      </c>
      <c r="AU27" s="6">
        <f t="shared" si="40"/>
        <v>19628.006440293062</v>
      </c>
      <c r="AV27" s="6">
        <f t="shared" si="40"/>
        <v>19235.446311487201</v>
      </c>
      <c r="AW27" s="6">
        <f t="shared" si="40"/>
        <v>18850.737385257456</v>
      </c>
      <c r="AX27" s="6">
        <f t="shared" si="40"/>
        <v>18473.722637552306</v>
      </c>
      <c r="AY27" s="6">
        <f t="shared" si="40"/>
        <v>18104.248184801261</v>
      </c>
      <c r="AZ27" s="6">
        <f t="shared" si="40"/>
        <v>17742.163221105235</v>
      </c>
      <c r="BA27" s="6">
        <f t="shared" si="40"/>
        <v>17387.319956683128</v>
      </c>
      <c r="BB27" s="6">
        <f t="shared" si="40"/>
        <v>17039.573557549465</v>
      </c>
      <c r="BC27" s="6">
        <f t="shared" si="40"/>
        <v>16698.782086398474</v>
      </c>
      <c r="BD27" s="6">
        <f t="shared" si="40"/>
        <v>16364.806444670505</v>
      </c>
      <c r="BE27" s="6">
        <f t="shared" si="40"/>
        <v>16037.510315777094</v>
      </c>
      <c r="BF27" s="6">
        <f t="shared" si="40"/>
        <v>15716.760109461551</v>
      </c>
      <c r="BG27" s="6">
        <f t="shared" si="40"/>
        <v>15402.42490727232</v>
      </c>
      <c r="BH27" s="6">
        <f t="shared" si="40"/>
        <v>15094.376409126873</v>
      </c>
      <c r="BI27" s="6">
        <f t="shared" si="40"/>
        <v>14792.488880944335</v>
      </c>
      <c r="BJ27" s="6">
        <f t="shared" si="40"/>
        <v>14496.639103325448</v>
      </c>
      <c r="BK27" s="6">
        <f t="shared" si="40"/>
        <v>14206.706321258938</v>
      </c>
      <c r="BL27" s="6">
        <f t="shared" si="40"/>
        <v>13922.57219483376</v>
      </c>
      <c r="BM27" s="6">
        <f t="shared" si="40"/>
        <v>13644.120750937083</v>
      </c>
      <c r="BN27" s="6">
        <f t="shared" si="40"/>
        <v>13371.238335918342</v>
      </c>
      <c r="BO27" s="6">
        <f t="shared" si="40"/>
        <v>13103.813569199976</v>
      </c>
      <c r="BP27" s="6">
        <f t="shared" si="40"/>
        <v>12841.737297815976</v>
      </c>
      <c r="BQ27" s="6">
        <f t="shared" si="40"/>
        <v>12584.902551859657</v>
      </c>
      <c r="BR27" s="6">
        <f t="shared" si="40"/>
        <v>12333.204500822463</v>
      </c>
      <c r="BS27" s="6">
        <f t="shared" si="40"/>
        <v>12086.540410806014</v>
      </c>
      <c r="BT27" s="6">
        <f t="shared" si="40"/>
        <v>11844.809602589894</v>
      </c>
      <c r="BU27" s="6">
        <f t="shared" si="40"/>
        <v>11607.913410538096</v>
      </c>
      <c r="BV27" s="6">
        <f t="shared" si="40"/>
        <v>11375.755142327334</v>
      </c>
      <c r="BW27" s="6">
        <f t="shared" si="40"/>
        <v>11148.240039480788</v>
      </c>
      <c r="BX27" s="6">
        <f t="shared" si="40"/>
        <v>10925.275238691172</v>
      </c>
      <c r="BY27" s="6">
        <f t="shared" si="40"/>
        <v>10706.769733917348</v>
      </c>
      <c r="BZ27" s="6">
        <f t="shared" si="40"/>
        <v>10492.634339239001</v>
      </c>
      <c r="CA27" s="6">
        <f t="shared" si="40"/>
        <v>10282.781652454221</v>
      </c>
      <c r="CB27" s="6">
        <f t="shared" si="40"/>
        <v>10077.126019405137</v>
      </c>
      <c r="CC27" s="6">
        <f t="shared" si="40"/>
        <v>9875.5834990170351</v>
      </c>
      <c r="CD27" s="6">
        <f t="shared" si="40"/>
        <v>9678.0718290366949</v>
      </c>
      <c r="CE27" s="6">
        <f t="shared" si="40"/>
        <v>9484.5103924559608</v>
      </c>
      <c r="CF27" s="6">
        <f t="shared" si="40"/>
        <v>9294.8201846068405</v>
      </c>
      <c r="CG27" s="6">
        <f t="shared" si="40"/>
        <v>9108.9237809147035</v>
      </c>
      <c r="CH27" s="6">
        <f t="shared" si="40"/>
        <v>8926.7453052964083</v>
      </c>
      <c r="CI27" s="6">
        <f t="shared" si="40"/>
        <v>8748.2103991904805</v>
      </c>
      <c r="CJ27" s="6">
        <f t="shared" si="40"/>
        <v>8573.2461912066701</v>
      </c>
      <c r="CK27" s="6">
        <f t="shared" si="40"/>
        <v>8401.7812673825374</v>
      </c>
      <c r="CL27" s="6">
        <f t="shared" si="40"/>
        <v>8233.7456420348863</v>
      </c>
      <c r="CM27" s="6">
        <f t="shared" si="40"/>
        <v>8069.0707291941881</v>
      </c>
      <c r="CN27" s="6">
        <f t="shared" si="40"/>
        <v>7907.6893146103039</v>
      </c>
      <c r="CO27" s="6">
        <f t="shared" si="40"/>
        <v>7749.5355283180979</v>
      </c>
      <c r="CP27" s="6">
        <f t="shared" si="40"/>
        <v>7594.5448177517355</v>
      </c>
      <c r="CQ27" s="6">
        <f t="shared" si="40"/>
        <v>7442.6539213967008</v>
      </c>
      <c r="CR27" s="6">
        <f t="shared" si="40"/>
        <v>7293.800842968767</v>
      </c>
      <c r="CS27" s="6">
        <f t="shared" si="40"/>
        <v>7147.9248261093917</v>
      </c>
      <c r="CT27" s="6">
        <f t="shared" si="40"/>
        <v>7004.9663295872033</v>
      </c>
      <c r="CU27" s="6">
        <f t="shared" si="40"/>
        <v>6864.8670029954592</v>
      </c>
      <c r="CV27" s="6">
        <f t="shared" si="40"/>
        <v>6727.5696629355498</v>
      </c>
      <c r="CW27" s="6">
        <f t="shared" ref="CW27:EF27" si="41">+CV27*(1+$AL$31)</f>
        <v>6593.0182696768388</v>
      </c>
      <c r="CX27" s="6">
        <f t="shared" si="41"/>
        <v>6461.1579042833018</v>
      </c>
      <c r="CY27" s="6">
        <f t="shared" si="41"/>
        <v>6331.9347461976358</v>
      </c>
      <c r="CZ27" s="6">
        <f t="shared" si="41"/>
        <v>6205.2960512736827</v>
      </c>
      <c r="DA27" s="6">
        <f t="shared" si="41"/>
        <v>6081.1901302482092</v>
      </c>
      <c r="DB27" s="6">
        <f t="shared" si="41"/>
        <v>5959.5663276432451</v>
      </c>
      <c r="DC27" s="6">
        <f t="shared" si="41"/>
        <v>5840.3750010903805</v>
      </c>
      <c r="DD27" s="6">
        <f t="shared" si="41"/>
        <v>5723.5675010685727</v>
      </c>
      <c r="DE27" s="6">
        <f t="shared" si="41"/>
        <v>5609.0961510472016</v>
      </c>
      <c r="DF27" s="6">
        <f t="shared" si="41"/>
        <v>5496.9142280262577</v>
      </c>
      <c r="DG27" s="6">
        <f t="shared" si="41"/>
        <v>5386.9759434657326</v>
      </c>
      <c r="DH27" s="6">
        <f t="shared" si="41"/>
        <v>5279.2364245964181</v>
      </c>
      <c r="DI27" s="6">
        <f t="shared" si="41"/>
        <v>5173.6516961044899</v>
      </c>
      <c r="DJ27" s="6">
        <f t="shared" si="41"/>
        <v>5070.1786621824003</v>
      </c>
      <c r="DK27" s="6">
        <f t="shared" si="41"/>
        <v>4968.7750889387526</v>
      </c>
      <c r="DL27" s="6">
        <f t="shared" si="41"/>
        <v>4869.3995871599773</v>
      </c>
      <c r="DM27" s="6">
        <f t="shared" si="41"/>
        <v>4772.0115954167777</v>
      </c>
      <c r="DN27" s="6">
        <f t="shared" si="41"/>
        <v>4676.5713635084421</v>
      </c>
      <c r="DO27" s="6">
        <f t="shared" si="41"/>
        <v>4583.0399362382732</v>
      </c>
      <c r="DP27" s="6">
        <f t="shared" si="41"/>
        <v>4491.3791375135079</v>
      </c>
      <c r="DQ27" s="6">
        <f t="shared" si="41"/>
        <v>4401.5515547632376</v>
      </c>
      <c r="DR27" s="6">
        <f t="shared" si="41"/>
        <v>4313.5205236679731</v>
      </c>
      <c r="DS27" s="6">
        <f t="shared" si="41"/>
        <v>4227.2501131946137</v>
      </c>
      <c r="DT27" s="6">
        <f t="shared" si="41"/>
        <v>4142.7051109307213</v>
      </c>
      <c r="DU27" s="6">
        <f t="shared" si="41"/>
        <v>4059.8510087121067</v>
      </c>
      <c r="DV27" s="6">
        <f t="shared" si="41"/>
        <v>3978.6539885378643</v>
      </c>
      <c r="DW27" s="6">
        <f t="shared" si="41"/>
        <v>3899.0809087671068</v>
      </c>
      <c r="DX27" s="6">
        <f t="shared" si="41"/>
        <v>3821.0992905917647</v>
      </c>
      <c r="DY27" s="6">
        <f t="shared" si="41"/>
        <v>3744.6773047799293</v>
      </c>
      <c r="DZ27" s="6">
        <f t="shared" si="41"/>
        <v>3669.7837586843307</v>
      </c>
      <c r="EA27" s="6">
        <f t="shared" si="41"/>
        <v>3596.3880835106438</v>
      </c>
      <c r="EB27" s="6">
        <f t="shared" si="41"/>
        <v>3524.4603218404309</v>
      </c>
      <c r="EC27" s="6">
        <f t="shared" si="41"/>
        <v>3453.9711154036222</v>
      </c>
      <c r="ED27" s="6">
        <f t="shared" si="41"/>
        <v>3384.8916930955497</v>
      </c>
      <c r="EE27" s="6">
        <f t="shared" si="41"/>
        <v>3317.1938592336387</v>
      </c>
      <c r="EF27" s="6">
        <f t="shared" si="41"/>
        <v>3250.849982048966</v>
      </c>
    </row>
    <row r="28" spans="1:136" s="7" customFormat="1" x14ac:dyDescent="0.2">
      <c r="A28" s="7" t="s">
        <v>26</v>
      </c>
      <c r="B28" s="7">
        <f t="shared" ref="B28:K28" si="42">+B27/B29</f>
        <v>2.869281045751634</v>
      </c>
      <c r="C28" s="7">
        <f t="shared" si="42"/>
        <v>2.5983086680761098</v>
      </c>
      <c r="D28" s="7">
        <f t="shared" si="42"/>
        <v>2.5686274509803924</v>
      </c>
      <c r="E28" s="7">
        <f t="shared" si="42"/>
        <v>2.5010615711252653</v>
      </c>
      <c r="F28" s="7">
        <f t="shared" si="42"/>
        <v>2.7065217391304346</v>
      </c>
      <c r="G28" s="7">
        <f t="shared" si="42"/>
        <v>2.7995642701525054</v>
      </c>
      <c r="H28" s="7">
        <f t="shared" si="42"/>
        <v>2.9891067538126364</v>
      </c>
      <c r="I28" s="7">
        <f t="shared" si="42"/>
        <v>3.1198257080610023</v>
      </c>
      <c r="J28" s="7">
        <f t="shared" si="42"/>
        <v>3.4517543859649122</v>
      </c>
      <c r="K28" s="7">
        <f t="shared" si="42"/>
        <v>3.3902439024390243</v>
      </c>
      <c r="L28" s="7">
        <f t="shared" ref="L28:M28" si="43">+L27/L29</f>
        <v>3.6294642857142856</v>
      </c>
      <c r="M28" s="7">
        <f t="shared" si="43"/>
        <v>3.7042889390519189</v>
      </c>
      <c r="P28" s="21"/>
      <c r="Q28" s="7">
        <f t="shared" ref="Q28:AI28" si="44">+Q27/Q29</f>
        <v>3.4453976369075043</v>
      </c>
      <c r="R28" s="7">
        <f t="shared" si="44"/>
        <v>5.3011210361499508</v>
      </c>
      <c r="S28" s="7">
        <f t="shared" si="44"/>
        <v>6.1697330197814377</v>
      </c>
      <c r="T28" s="7">
        <f t="shared" si="44"/>
        <v>11.158004158004157</v>
      </c>
      <c r="U28" s="7">
        <f t="shared" si="44"/>
        <v>10.349272349272349</v>
      </c>
      <c r="V28" s="7">
        <f t="shared" si="44"/>
        <v>10.409766454352441</v>
      </c>
      <c r="W28" s="7">
        <f t="shared" si="44"/>
        <v>11.620915032679738</v>
      </c>
      <c r="X28" s="7">
        <f t="shared" si="44"/>
        <v>14.155555555555555</v>
      </c>
      <c r="Y28" s="7">
        <f t="shared" si="44"/>
        <v>14.041194163860828</v>
      </c>
      <c r="Z28" s="7">
        <f t="shared" si="44"/>
        <v>16.335580632361776</v>
      </c>
      <c r="AA28" s="7">
        <f t="shared" si="44"/>
        <v>18.992467580039179</v>
      </c>
      <c r="AB28" s="7">
        <f t="shared" si="44"/>
        <v>22.06756180441673</v>
      </c>
      <c r="AC28" s="7">
        <f t="shared" si="44"/>
        <v>25.624916754363369</v>
      </c>
      <c r="AD28" s="7">
        <f t="shared" si="44"/>
        <v>29.738151535221796</v>
      </c>
      <c r="AE28" s="7">
        <f t="shared" si="44"/>
        <v>34.491842932535185</v>
      </c>
      <c r="AF28" s="7">
        <f t="shared" si="44"/>
        <v>39.983114161624108</v>
      </c>
      <c r="AG28" s="7">
        <f t="shared" si="44"/>
        <v>46.323447145709601</v>
      </c>
      <c r="AH28" s="7">
        <f t="shared" si="44"/>
        <v>53.64074859575868</v>
      </c>
      <c r="AI28" s="7">
        <f t="shared" si="44"/>
        <v>62.081704050279733</v>
      </c>
    </row>
    <row r="29" spans="1:136" x14ac:dyDescent="0.2">
      <c r="A29" s="2" t="s">
        <v>27</v>
      </c>
      <c r="B29" s="2">
        <v>459</v>
      </c>
      <c r="C29" s="2">
        <v>473</v>
      </c>
      <c r="D29" s="2">
        <v>459</v>
      </c>
      <c r="E29" s="2">
        <f>+V29</f>
        <v>471</v>
      </c>
      <c r="F29" s="2">
        <v>460</v>
      </c>
      <c r="G29" s="2">
        <v>459</v>
      </c>
      <c r="H29" s="2">
        <v>459</v>
      </c>
      <c r="I29" s="2">
        <v>459</v>
      </c>
      <c r="J29" s="2">
        <v>456</v>
      </c>
      <c r="K29" s="2">
        <v>451</v>
      </c>
      <c r="L29" s="2">
        <v>448</v>
      </c>
      <c r="M29" s="2">
        <v>443</v>
      </c>
      <c r="P29" s="21"/>
      <c r="Q29" s="2">
        <v>501.12299999999999</v>
      </c>
      <c r="R29" s="2">
        <v>497.84300000000002</v>
      </c>
      <c r="S29" s="2">
        <v>491.572</v>
      </c>
      <c r="T29" s="2">
        <v>481</v>
      </c>
      <c r="U29" s="2">
        <v>481</v>
      </c>
      <c r="V29" s="2">
        <v>471</v>
      </c>
      <c r="W29" s="2">
        <v>459</v>
      </c>
      <c r="X29" s="2">
        <v>450</v>
      </c>
      <c r="Y29" s="2">
        <f>+X29*0.99</f>
        <v>445.5</v>
      </c>
      <c r="Z29" s="2">
        <f t="shared" ref="Z29:AI29" si="45">+Y29*0.99</f>
        <v>441.04500000000002</v>
      </c>
      <c r="AA29" s="2">
        <f t="shared" si="45"/>
        <v>436.63454999999999</v>
      </c>
      <c r="AB29" s="2">
        <f t="shared" si="45"/>
        <v>432.26820449999997</v>
      </c>
      <c r="AC29" s="2">
        <f t="shared" si="45"/>
        <v>427.94552245499995</v>
      </c>
      <c r="AD29" s="2">
        <f t="shared" si="45"/>
        <v>423.66606723044993</v>
      </c>
      <c r="AE29" s="2">
        <f t="shared" si="45"/>
        <v>419.42940655814544</v>
      </c>
      <c r="AF29" s="2">
        <f t="shared" si="45"/>
        <v>415.23511249256399</v>
      </c>
      <c r="AG29" s="2">
        <f t="shared" si="45"/>
        <v>411.08276136763834</v>
      </c>
      <c r="AH29" s="2">
        <f t="shared" si="45"/>
        <v>406.97193375396193</v>
      </c>
      <c r="AI29" s="2">
        <f t="shared" si="45"/>
        <v>402.90221441642234</v>
      </c>
    </row>
    <row r="31" spans="1:136" s="8" customFormat="1" x14ac:dyDescent="0.2">
      <c r="A31" s="8" t="s">
        <v>28</v>
      </c>
      <c r="B31" s="8">
        <f t="shared" ref="B31:M31" si="46">+B18/B13</f>
        <v>0.87986860628812769</v>
      </c>
      <c r="C31" s="8">
        <f t="shared" si="46"/>
        <v>0.87710898312813501</v>
      </c>
      <c r="D31" s="8">
        <f t="shared" si="46"/>
        <v>0.87683284457478006</v>
      </c>
      <c r="E31" s="8">
        <f t="shared" si="46"/>
        <v>0.87447513812154698</v>
      </c>
      <c r="F31" s="8">
        <f t="shared" si="46"/>
        <v>0.87798066595059077</v>
      </c>
      <c r="G31" s="8">
        <f t="shared" si="46"/>
        <v>0.8812292358803987</v>
      </c>
      <c r="H31" s="8">
        <f t="shared" si="46"/>
        <v>0.88139059304703471</v>
      </c>
      <c r="I31" s="8">
        <f t="shared" si="46"/>
        <v>0.87440570522979399</v>
      </c>
      <c r="J31" s="8">
        <f t="shared" si="46"/>
        <v>0.88614434581242763</v>
      </c>
      <c r="K31" s="8">
        <f t="shared" si="46"/>
        <v>0.88736108495008481</v>
      </c>
      <c r="L31" s="8">
        <f t="shared" si="46"/>
        <v>0.8975591715976331</v>
      </c>
      <c r="M31" s="8">
        <f t="shared" si="46"/>
        <v>0.89011773100249736</v>
      </c>
      <c r="Q31" s="8">
        <f t="shared" ref="Q31:X31" si="47">+Q18/Q13</f>
        <v>0.86160510744017837</v>
      </c>
      <c r="R31" s="8">
        <f t="shared" si="47"/>
        <v>0.8676635723910765</v>
      </c>
      <c r="S31" s="8">
        <f t="shared" si="47"/>
        <v>0.85026626720245646</v>
      </c>
      <c r="T31" s="8">
        <f t="shared" si="47"/>
        <v>0.86617967050046629</v>
      </c>
      <c r="U31" s="8">
        <f t="shared" si="47"/>
        <v>0.88184985745961353</v>
      </c>
      <c r="V31" s="8">
        <f t="shared" si="47"/>
        <v>0.87703055776439853</v>
      </c>
      <c r="W31" s="8">
        <f t="shared" si="47"/>
        <v>0.87871605955999799</v>
      </c>
      <c r="X31" s="8">
        <f t="shared" si="47"/>
        <v>0.89035108114392003</v>
      </c>
      <c r="Y31" s="8">
        <f t="shared" ref="Y31:AI31" si="48">+Y18/Y13</f>
        <v>0.88826552828175021</v>
      </c>
      <c r="Z31" s="8">
        <f t="shared" si="48"/>
        <v>0.89120590911644104</v>
      </c>
      <c r="AA31" s="8">
        <f t="shared" si="48"/>
        <v>0.89406891150811363</v>
      </c>
      <c r="AB31" s="8">
        <f t="shared" si="48"/>
        <v>0.8968565717315844</v>
      </c>
      <c r="AC31" s="8">
        <f t="shared" si="48"/>
        <v>0.89957087247548984</v>
      </c>
      <c r="AD31" s="8">
        <f t="shared" si="48"/>
        <v>0.90221374425245071</v>
      </c>
      <c r="AE31" s="8">
        <f t="shared" si="48"/>
        <v>0.90478706677212306</v>
      </c>
      <c r="AF31" s="8">
        <f t="shared" si="48"/>
        <v>0.90729267027811977</v>
      </c>
      <c r="AG31" s="8">
        <f t="shared" si="48"/>
        <v>0.9097323368497483</v>
      </c>
      <c r="AH31" s="8">
        <f t="shared" si="48"/>
        <v>0.91210780166949168</v>
      </c>
      <c r="AI31" s="8">
        <f t="shared" si="48"/>
        <v>0.91442075425713654</v>
      </c>
      <c r="AK31" s="22" t="s">
        <v>105</v>
      </c>
      <c r="AL31" s="8">
        <v>-0.02</v>
      </c>
    </row>
    <row r="32" spans="1:136" s="8" customFormat="1" x14ac:dyDescent="0.2">
      <c r="A32" s="8" t="s">
        <v>29</v>
      </c>
      <c r="B32" s="8">
        <f t="shared" ref="B32:M32" si="49">+B23/B13</f>
        <v>0.38057250117315816</v>
      </c>
      <c r="C32" s="8">
        <f t="shared" si="49"/>
        <v>0.35818513451892386</v>
      </c>
      <c r="D32" s="8">
        <f t="shared" si="49"/>
        <v>0.34446198962327995</v>
      </c>
      <c r="E32" s="8">
        <f t="shared" si="49"/>
        <v>0.34187845303867404</v>
      </c>
      <c r="F32" s="8">
        <f t="shared" si="49"/>
        <v>0.34973147153598283</v>
      </c>
      <c r="G32" s="8">
        <f t="shared" si="49"/>
        <v>0.34593023255813954</v>
      </c>
      <c r="H32" s="8">
        <f t="shared" si="49"/>
        <v>0.35562372188139058</v>
      </c>
      <c r="I32" s="8">
        <f t="shared" si="49"/>
        <v>0.3536053882725832</v>
      </c>
      <c r="J32" s="8">
        <f t="shared" si="49"/>
        <v>0.37610961018911615</v>
      </c>
      <c r="K32" s="8">
        <f t="shared" si="49"/>
        <v>0.36296854398191752</v>
      </c>
      <c r="L32" s="8">
        <f t="shared" si="49"/>
        <v>0.37629437869822485</v>
      </c>
      <c r="M32" s="8">
        <f t="shared" si="49"/>
        <v>0.35658223332144129</v>
      </c>
      <c r="Q32" s="8">
        <f t="shared" ref="Q32:X32" si="50">+Q23/Q13</f>
        <v>0.30742388041917379</v>
      </c>
      <c r="R32" s="8">
        <f t="shared" si="50"/>
        <v>0.32463647872737217</v>
      </c>
      <c r="S32" s="8">
        <f t="shared" si="50"/>
        <v>0.30823323379550294</v>
      </c>
      <c r="T32" s="8">
        <f t="shared" si="50"/>
        <v>0.34185576624184022</v>
      </c>
      <c r="U32" s="8">
        <f t="shared" si="50"/>
        <v>0.37846056382641746</v>
      </c>
      <c r="V32" s="8">
        <f t="shared" si="50"/>
        <v>0.35595819606952173</v>
      </c>
      <c r="W32" s="8">
        <f t="shared" si="50"/>
        <v>0.35128033386573237</v>
      </c>
      <c r="X32" s="8">
        <f t="shared" si="50"/>
        <v>0.36782143687514529</v>
      </c>
      <c r="Y32" s="8">
        <f t="shared" ref="Y32:AI32" si="51">+Y23/Y13</f>
        <v>0.34180490928495194</v>
      </c>
      <c r="Z32" s="8">
        <f t="shared" si="51"/>
        <v>0.34504044636671721</v>
      </c>
      <c r="AA32" s="8">
        <f t="shared" si="51"/>
        <v>0.34809459664627113</v>
      </c>
      <c r="AB32" s="8">
        <f t="shared" si="51"/>
        <v>0.35096892421630743</v>
      </c>
      <c r="AC32" s="8">
        <f t="shared" si="51"/>
        <v>0.35366491250975396</v>
      </c>
      <c r="AD32" s="8">
        <f t="shared" si="51"/>
        <v>0.35618396552128306</v>
      </c>
      <c r="AE32" s="8">
        <f t="shared" si="51"/>
        <v>0.35852740898375507</v>
      </c>
      <c r="AF32" s="8">
        <f t="shared" si="51"/>
        <v>0.36069649150051752</v>
      </c>
      <c r="AG32" s="8">
        <f t="shared" si="51"/>
        <v>0.3626923856344435</v>
      </c>
      <c r="AH32" s="8">
        <f t="shared" si="51"/>
        <v>0.36451618895456839</v>
      </c>
      <c r="AI32" s="8">
        <f t="shared" si="51"/>
        <v>0.36616892504116011</v>
      </c>
      <c r="AK32" s="22" t="s">
        <v>106</v>
      </c>
      <c r="AL32" s="8">
        <v>0.1</v>
      </c>
    </row>
    <row r="33" spans="1:38" s="8" customFormat="1" x14ac:dyDescent="0.2">
      <c r="A33" s="8" t="s">
        <v>30</v>
      </c>
      <c r="B33" s="8">
        <f t="shared" ref="B33:M33" si="52">+B27/B13</f>
        <v>0.30900985452839042</v>
      </c>
      <c r="C33" s="8">
        <f t="shared" si="52"/>
        <v>0.2802097583219334</v>
      </c>
      <c r="D33" s="8">
        <f t="shared" si="52"/>
        <v>0.26595984660500788</v>
      </c>
      <c r="E33" s="8">
        <f t="shared" si="52"/>
        <v>0.2603314917127072</v>
      </c>
      <c r="F33" s="8">
        <f t="shared" si="52"/>
        <v>0.26745435016111707</v>
      </c>
      <c r="G33" s="8">
        <f t="shared" si="52"/>
        <v>0.26681893687707642</v>
      </c>
      <c r="H33" s="8">
        <f t="shared" si="52"/>
        <v>0.28057259713701432</v>
      </c>
      <c r="I33" s="8">
        <f t="shared" si="52"/>
        <v>0.28367670364500791</v>
      </c>
      <c r="J33" s="8">
        <f t="shared" si="52"/>
        <v>0.30374372829023544</v>
      </c>
      <c r="K33" s="8">
        <f t="shared" si="52"/>
        <v>0.28800150687511772</v>
      </c>
      <c r="L33" s="8">
        <f t="shared" si="52"/>
        <v>0.30066568047337278</v>
      </c>
      <c r="M33" s="8">
        <f t="shared" si="52"/>
        <v>0.29272208348198359</v>
      </c>
      <c r="Q33" s="8">
        <f t="shared" ref="Q33:X33" si="53">+Q27/Q13</f>
        <v>0.23646741322508161</v>
      </c>
      <c r="R33" s="8">
        <f t="shared" si="53"/>
        <v>0.29226175657873177</v>
      </c>
      <c r="S33" s="8">
        <f t="shared" si="53"/>
        <v>0.27148754526891555</v>
      </c>
      <c r="T33" s="8">
        <f t="shared" si="53"/>
        <v>0.41708113148896486</v>
      </c>
      <c r="U33" s="8">
        <f t="shared" si="53"/>
        <v>0.31536268609439339</v>
      </c>
      <c r="V33" s="8">
        <f t="shared" si="53"/>
        <v>0.27848460752016357</v>
      </c>
      <c r="W33" s="8">
        <f t="shared" si="53"/>
        <v>0.27482095934875572</v>
      </c>
      <c r="X33" s="8">
        <f t="shared" si="53"/>
        <v>0.29621018367821439</v>
      </c>
      <c r="Y33" s="8">
        <f t="shared" ref="Y33:AI33" si="54">+Y27/Y13</f>
        <v>0.26703743863393803</v>
      </c>
      <c r="Z33" s="8">
        <f t="shared" si="54"/>
        <v>0.26979446010971936</v>
      </c>
      <c r="AA33" s="8">
        <f t="shared" si="54"/>
        <v>0.27240193551714287</v>
      </c>
      <c r="AB33" s="8">
        <f t="shared" si="54"/>
        <v>0.27486123288369485</v>
      </c>
      <c r="AC33" s="8">
        <f t="shared" si="54"/>
        <v>0.27717365263659288</v>
      </c>
      <c r="AD33" s="8">
        <f t="shared" si="54"/>
        <v>0.27934042866084807</v>
      </c>
      <c r="AE33" s="8">
        <f t="shared" si="54"/>
        <v>0.28136272931914619</v>
      </c>
      <c r="AF33" s="8">
        <f t="shared" si="54"/>
        <v>0.28324165843434179</v>
      </c>
      <c r="AG33" s="8">
        <f t="shared" si="54"/>
        <v>0.28497825623532663</v>
      </c>
      <c r="AH33" s="8">
        <f t="shared" si="54"/>
        <v>0.28657350026701145</v>
      </c>
      <c r="AI33" s="8">
        <f t="shared" si="54"/>
        <v>0.28802830626514386</v>
      </c>
      <c r="AK33" s="22" t="s">
        <v>107</v>
      </c>
      <c r="AL33" s="24">
        <f>+NPV(AL32,Y27:EF27)</f>
        <v>150331.38083639022</v>
      </c>
    </row>
    <row r="34" spans="1:38" s="8" customFormat="1" x14ac:dyDescent="0.2">
      <c r="A34" s="8" t="s">
        <v>24</v>
      </c>
      <c r="B34" s="8">
        <f t="shared" ref="B34:J34" si="55">+B26/B25</f>
        <v>0.1737766624843162</v>
      </c>
      <c r="C34" s="8">
        <f t="shared" si="55"/>
        <v>0.20349967595592999</v>
      </c>
      <c r="D34" s="8">
        <f t="shared" si="55"/>
        <v>0.2134756504336224</v>
      </c>
      <c r="E34" s="8">
        <f t="shared" si="55"/>
        <v>0.22448979591836735</v>
      </c>
      <c r="F34" s="8">
        <f t="shared" si="55"/>
        <v>0.21992481203007519</v>
      </c>
      <c r="G34" s="8">
        <f t="shared" si="55"/>
        <v>0.21646341463414634</v>
      </c>
      <c r="H34" s="8">
        <f t="shared" si="55"/>
        <v>0.19859813084112149</v>
      </c>
      <c r="I34" s="8">
        <f t="shared" si="55"/>
        <v>0.18497438816163916</v>
      </c>
      <c r="J34" s="8">
        <f t="shared" si="55"/>
        <v>0.18106139438085328</v>
      </c>
      <c r="K34" s="8">
        <f t="shared" ref="K34:L34" si="56">+K26/K25</f>
        <v>0.18928950159066807</v>
      </c>
      <c r="L34" s="8">
        <f t="shared" si="56"/>
        <v>0.18044354838709678</v>
      </c>
      <c r="M34" s="8">
        <f t="shared" ref="M34" si="57">+M26/M25</f>
        <v>0.15802975885069268</v>
      </c>
      <c r="Q34" s="8">
        <f t="shared" ref="Q34:W34" si="58">+Q26/Q25</f>
        <v>0.20444003124056859</v>
      </c>
      <c r="R34" s="8">
        <f t="shared" si="58"/>
        <v>7.1458728856376053E-2</v>
      </c>
      <c r="S34" s="8">
        <f t="shared" si="58"/>
        <v>7.7075886044189676E-2</v>
      </c>
      <c r="T34" s="8">
        <f t="shared" si="58"/>
        <v>-0.25309362596310997</v>
      </c>
      <c r="U34" s="8">
        <f t="shared" si="58"/>
        <v>0.15065688449070125</v>
      </c>
      <c r="V34" s="8">
        <f t="shared" si="58"/>
        <v>0.2034118602761982</v>
      </c>
      <c r="W34" s="8">
        <f t="shared" si="58"/>
        <v>0.20447427293064876</v>
      </c>
      <c r="X34" s="8">
        <f t="shared" ref="X34:AI34" si="59">+X26/X25</f>
        <v>0.17710890065882962</v>
      </c>
      <c r="Y34" s="8">
        <f t="shared" si="59"/>
        <v>0.2</v>
      </c>
      <c r="Z34" s="8">
        <f t="shared" si="59"/>
        <v>0.2</v>
      </c>
      <c r="AA34" s="8">
        <f t="shared" si="59"/>
        <v>0.2</v>
      </c>
      <c r="AB34" s="8">
        <f t="shared" si="59"/>
        <v>0.2</v>
      </c>
      <c r="AC34" s="8">
        <f t="shared" si="59"/>
        <v>0.2</v>
      </c>
      <c r="AD34" s="8">
        <f t="shared" si="59"/>
        <v>0.2</v>
      </c>
      <c r="AE34" s="8">
        <f t="shared" si="59"/>
        <v>0.2</v>
      </c>
      <c r="AF34" s="8">
        <f t="shared" si="59"/>
        <v>0.19999999999999998</v>
      </c>
      <c r="AG34" s="8">
        <f t="shared" si="59"/>
        <v>0.2</v>
      </c>
      <c r="AH34" s="8">
        <f t="shared" si="59"/>
        <v>0.20000000000000004</v>
      </c>
      <c r="AI34" s="8">
        <f t="shared" si="59"/>
        <v>0.2</v>
      </c>
      <c r="AK34" s="22" t="s">
        <v>51</v>
      </c>
      <c r="AL34" s="23">
        <f>+AI38</f>
        <v>169601.51707637543</v>
      </c>
    </row>
    <row r="35" spans="1:38" s="8" customFormat="1" ht="13.5" thickBot="1" x14ac:dyDescent="0.25">
      <c r="AK35" s="22" t="s">
        <v>108</v>
      </c>
      <c r="AL35" s="23">
        <f>+AL33+AL34</f>
        <v>319932.89791276562</v>
      </c>
    </row>
    <row r="36" spans="1:38" s="9" customFormat="1" x14ac:dyDescent="0.2">
      <c r="A36" s="9" t="s">
        <v>31</v>
      </c>
      <c r="F36" s="9">
        <f t="shared" ref="F36:M36" si="60">+F13/B13-1</f>
        <v>9.2210229938995747E-2</v>
      </c>
      <c r="G36" s="9">
        <f t="shared" si="60"/>
        <v>9.8039215686274606E-2</v>
      </c>
      <c r="H36" s="9">
        <f t="shared" si="60"/>
        <v>0.1030904579291676</v>
      </c>
      <c r="I36" s="9">
        <f t="shared" si="60"/>
        <v>0.1155801104972376</v>
      </c>
      <c r="J36" s="9">
        <f t="shared" si="60"/>
        <v>0.11321160042964551</v>
      </c>
      <c r="K36" s="9">
        <f t="shared" si="60"/>
        <v>0.10236710963455153</v>
      </c>
      <c r="L36" s="9">
        <f t="shared" si="60"/>
        <v>0.10593047034764824</v>
      </c>
      <c r="M36" s="9">
        <f t="shared" si="60"/>
        <v>0.11053882725832009</v>
      </c>
      <c r="O36" s="38"/>
      <c r="R36" s="9">
        <f t="shared" ref="R36:Y36" si="61">+R13/Q13-1</f>
        <v>0.23673242708181408</v>
      </c>
      <c r="S36" s="9">
        <f t="shared" si="61"/>
        <v>0.23713035470179</v>
      </c>
      <c r="T36" s="9">
        <f t="shared" si="61"/>
        <v>0.15188057393872878</v>
      </c>
      <c r="U36" s="9">
        <f t="shared" si="61"/>
        <v>0.22668635374572577</v>
      </c>
      <c r="V36" s="9">
        <f t="shared" si="61"/>
        <v>0.11536268609439349</v>
      </c>
      <c r="W36" s="9">
        <f t="shared" si="61"/>
        <v>0.10240826990798602</v>
      </c>
      <c r="X36" s="9">
        <f t="shared" si="61"/>
        <v>0.10799113813179462</v>
      </c>
      <c r="Y36" s="9">
        <f t="shared" si="61"/>
        <v>8.928156242734242E-2</v>
      </c>
      <c r="Z36" s="9">
        <f t="shared" ref="Z36:AI36" si="62">+Z13/Y13-1</f>
        <v>0.1399999999999999</v>
      </c>
      <c r="AA36" s="9">
        <f t="shared" si="62"/>
        <v>0.1399999999999999</v>
      </c>
      <c r="AB36" s="9">
        <f t="shared" si="62"/>
        <v>0.1399999999999999</v>
      </c>
      <c r="AC36" s="9">
        <f t="shared" si="62"/>
        <v>0.1399999999999999</v>
      </c>
      <c r="AD36" s="9">
        <f t="shared" si="62"/>
        <v>0.1399999999999999</v>
      </c>
      <c r="AE36" s="9">
        <f t="shared" si="62"/>
        <v>0.1399999999999999</v>
      </c>
      <c r="AF36" s="9">
        <f t="shared" si="62"/>
        <v>0.1399999999999999</v>
      </c>
      <c r="AG36" s="9">
        <f t="shared" si="62"/>
        <v>0.1399999999999999</v>
      </c>
      <c r="AH36" s="9">
        <f t="shared" si="62"/>
        <v>0.1399999999999999</v>
      </c>
      <c r="AI36" s="9">
        <f t="shared" si="62"/>
        <v>0.1399999999999999</v>
      </c>
      <c r="AK36" s="30" t="s">
        <v>32</v>
      </c>
      <c r="AL36" s="31">
        <f>+AL35/Main!L4</f>
        <v>726.78986350014907</v>
      </c>
    </row>
    <row r="37" spans="1:38" x14ac:dyDescent="0.2">
      <c r="AK37" s="32" t="s">
        <v>110</v>
      </c>
      <c r="AL37" s="33">
        <v>406</v>
      </c>
    </row>
    <row r="38" spans="1:38" ht="13.5" thickBot="1" x14ac:dyDescent="0.25">
      <c r="A38" s="2" t="s">
        <v>51</v>
      </c>
      <c r="B38" s="2">
        <f t="shared" ref="B38:M38" si="63">+B39-B50</f>
        <v>576</v>
      </c>
      <c r="C38" s="2">
        <f t="shared" si="63"/>
        <v>1173</v>
      </c>
      <c r="D38" s="2">
        <f t="shared" si="63"/>
        <v>1637</v>
      </c>
      <c r="E38" s="2">
        <f t="shared" si="63"/>
        <v>1967</v>
      </c>
      <c r="F38" s="2">
        <f t="shared" si="63"/>
        <v>2023</v>
      </c>
      <c r="G38" s="2">
        <f t="shared" si="63"/>
        <v>2970</v>
      </c>
      <c r="H38" s="2">
        <f t="shared" si="63"/>
        <v>3883</v>
      </c>
      <c r="I38" s="2">
        <f t="shared" si="63"/>
        <v>4208</v>
      </c>
      <c r="J38" s="2">
        <f t="shared" si="63"/>
        <v>3185</v>
      </c>
      <c r="K38" s="2">
        <f t="shared" si="63"/>
        <v>2440</v>
      </c>
      <c r="L38" s="2">
        <f t="shared" si="63"/>
        <v>1888</v>
      </c>
      <c r="M38" s="2">
        <f t="shared" si="63"/>
        <v>2258</v>
      </c>
      <c r="V38" s="2">
        <f t="shared" ref="V38" si="64">+V39-V50</f>
        <v>1967</v>
      </c>
      <c r="W38" s="2">
        <f t="shared" ref="W38:X38" si="65">+W39-W50</f>
        <v>4208</v>
      </c>
      <c r="X38" s="2">
        <f t="shared" si="65"/>
        <v>2258</v>
      </c>
      <c r="Y38" s="2">
        <f>+X38+Y92</f>
        <v>9519.75</v>
      </c>
      <c r="Z38" s="2">
        <f t="shared" ref="Z38:AH38" si="66">+Y38+Z92</f>
        <v>17798.144999999997</v>
      </c>
      <c r="AA38" s="2">
        <f t="shared" si="66"/>
        <v>27235.515299999995</v>
      </c>
      <c r="AB38" s="2">
        <f t="shared" si="66"/>
        <v>37994.117441999995</v>
      </c>
      <c r="AC38" s="2">
        <f t="shared" si="66"/>
        <v>50258.923883879994</v>
      </c>
      <c r="AD38" s="2">
        <f t="shared" si="66"/>
        <v>64240.80322762319</v>
      </c>
      <c r="AE38" s="2">
        <f t="shared" si="66"/>
        <v>80180.145679490437</v>
      </c>
      <c r="AF38" s="2">
        <f t="shared" si="66"/>
        <v>98350.996074619092</v>
      </c>
      <c r="AG38" s="2">
        <f t="shared" si="66"/>
        <v>119065.76552506576</v>
      </c>
      <c r="AH38" s="2">
        <f t="shared" si="66"/>
        <v>142680.60269857495</v>
      </c>
      <c r="AI38" s="2">
        <f>+AH38+AI92</f>
        <v>169601.51707637543</v>
      </c>
      <c r="AK38" s="34" t="s">
        <v>109</v>
      </c>
      <c r="AL38" s="35">
        <f>+AL36/AL37-1</f>
        <v>0.79012281650283023</v>
      </c>
    </row>
    <row r="39" spans="1:38" x14ac:dyDescent="0.2">
      <c r="A39" s="2" t="s">
        <v>34</v>
      </c>
      <c r="B39" s="2">
        <f>2739+1962</f>
        <v>4701</v>
      </c>
      <c r="C39" s="2">
        <f>3365+1934</f>
        <v>5299</v>
      </c>
      <c r="D39" s="2">
        <f>3870+1894</f>
        <v>5764</v>
      </c>
      <c r="E39" s="2">
        <f>4236+1860</f>
        <v>6096</v>
      </c>
      <c r="F39" s="2">
        <f>4072+1581</f>
        <v>5653</v>
      </c>
      <c r="G39" s="2">
        <f>5456+1145</f>
        <v>6601</v>
      </c>
      <c r="H39" s="2">
        <f>6601+915</f>
        <v>7516</v>
      </c>
      <c r="I39" s="2">
        <f>7141+701</f>
        <v>7842</v>
      </c>
      <c r="J39" s="2">
        <f>6254+566</f>
        <v>6820</v>
      </c>
      <c r="K39" s="2">
        <f>7660+405</f>
        <v>8065</v>
      </c>
      <c r="L39" s="2">
        <f>7193+322</f>
        <v>7515</v>
      </c>
      <c r="M39" s="2">
        <f>7613+273</f>
        <v>7886</v>
      </c>
      <c r="V39" s="2">
        <f>4236+1860</f>
        <v>6096</v>
      </c>
      <c r="W39" s="2">
        <f>7141+701</f>
        <v>7842</v>
      </c>
      <c r="X39" s="2">
        <f>7613+273</f>
        <v>7886</v>
      </c>
    </row>
    <row r="40" spans="1:38" x14ac:dyDescent="0.2">
      <c r="A40" s="2" t="s">
        <v>38</v>
      </c>
      <c r="B40" s="2">
        <v>1685</v>
      </c>
      <c r="C40" s="2">
        <v>1588</v>
      </c>
      <c r="D40" s="2">
        <v>1723</v>
      </c>
      <c r="E40" s="2">
        <v>2065</v>
      </c>
      <c r="F40" s="2">
        <v>1801</v>
      </c>
      <c r="G40" s="2">
        <v>1685</v>
      </c>
      <c r="H40" s="2">
        <v>1851</v>
      </c>
      <c r="I40" s="2">
        <v>2224</v>
      </c>
      <c r="J40" s="2">
        <v>2057</v>
      </c>
      <c r="K40" s="2">
        <v>1612</v>
      </c>
      <c r="L40" s="2">
        <v>1802</v>
      </c>
      <c r="M40" s="2">
        <v>2072</v>
      </c>
      <c r="V40" s="2">
        <v>2065</v>
      </c>
      <c r="W40" s="2">
        <v>2224</v>
      </c>
      <c r="X40" s="2">
        <v>2072</v>
      </c>
    </row>
    <row r="41" spans="1:38" x14ac:dyDescent="0.2">
      <c r="A41" s="2" t="s">
        <v>39</v>
      </c>
      <c r="B41" s="2">
        <v>1090</v>
      </c>
      <c r="C41" s="2">
        <v>1021</v>
      </c>
      <c r="D41" s="2">
        <v>1002</v>
      </c>
      <c r="E41" s="2">
        <v>835</v>
      </c>
      <c r="F41" s="2">
        <v>888</v>
      </c>
      <c r="G41" s="2">
        <v>988</v>
      </c>
      <c r="H41" s="2">
        <v>1043</v>
      </c>
      <c r="I41" s="2">
        <v>1018</v>
      </c>
      <c r="J41" s="2">
        <v>1131</v>
      </c>
      <c r="K41" s="2">
        <v>1346</v>
      </c>
      <c r="L41" s="2">
        <v>1399</v>
      </c>
      <c r="M41" s="2">
        <v>1274</v>
      </c>
      <c r="V41" s="2">
        <v>835</v>
      </c>
      <c r="W41" s="2">
        <v>1018</v>
      </c>
      <c r="X41" s="2">
        <v>1274</v>
      </c>
    </row>
    <row r="42" spans="1:38" x14ac:dyDescent="0.2">
      <c r="A42" s="2" t="s">
        <v>40</v>
      </c>
      <c r="B42" s="2">
        <v>1703</v>
      </c>
      <c r="C42" s="2">
        <v>1790</v>
      </c>
      <c r="D42" s="2">
        <v>1858</v>
      </c>
      <c r="E42" s="2">
        <v>1908</v>
      </c>
      <c r="F42" s="2">
        <v>1967</v>
      </c>
      <c r="G42" s="2">
        <v>2032</v>
      </c>
      <c r="H42" s="2">
        <v>2036</v>
      </c>
      <c r="I42" s="2">
        <v>2030</v>
      </c>
      <c r="J42" s="2">
        <v>1988</v>
      </c>
      <c r="K42" s="2">
        <v>1969</v>
      </c>
      <c r="L42" s="2">
        <v>1969</v>
      </c>
      <c r="M42" s="2">
        <v>1936</v>
      </c>
      <c r="V42" s="2">
        <v>1908</v>
      </c>
      <c r="W42" s="2">
        <v>2030</v>
      </c>
      <c r="X42" s="2">
        <v>1936</v>
      </c>
    </row>
    <row r="43" spans="1:38" x14ac:dyDescent="0.2">
      <c r="A43" s="2" t="s">
        <v>41</v>
      </c>
      <c r="B43" s="2">
        <v>435</v>
      </c>
      <c r="C43" s="2">
        <v>430</v>
      </c>
      <c r="D43" s="2">
        <v>414</v>
      </c>
      <c r="E43" s="2">
        <v>407</v>
      </c>
      <c r="F43" s="2">
        <v>402</v>
      </c>
      <c r="G43" s="2">
        <v>389</v>
      </c>
      <c r="H43" s="2">
        <v>373</v>
      </c>
      <c r="I43" s="2">
        <v>358</v>
      </c>
      <c r="J43" s="2">
        <v>366</v>
      </c>
      <c r="K43" s="2">
        <v>381</v>
      </c>
      <c r="L43" s="2">
        <v>368</v>
      </c>
      <c r="M43" s="2">
        <v>281</v>
      </c>
      <c r="V43" s="2">
        <v>407</v>
      </c>
      <c r="W43" s="2">
        <v>358</v>
      </c>
      <c r="X43" s="2">
        <v>281</v>
      </c>
    </row>
    <row r="44" spans="1:38" x14ac:dyDescent="0.2">
      <c r="A44" s="2" t="s">
        <v>42</v>
      </c>
      <c r="B44" s="2">
        <f>12795+1743</f>
        <v>14538</v>
      </c>
      <c r="C44" s="2">
        <f>12801+1650</f>
        <v>14451</v>
      </c>
      <c r="D44" s="2">
        <f>12756+1548</f>
        <v>14304</v>
      </c>
      <c r="E44" s="2">
        <f>12787+1449</f>
        <v>14236</v>
      </c>
      <c r="F44" s="2">
        <f>12792+1354</f>
        <v>14146</v>
      </c>
      <c r="G44" s="2">
        <f>12796+1258</f>
        <v>14054</v>
      </c>
      <c r="H44" s="2">
        <f>12800+1167</f>
        <v>13967</v>
      </c>
      <c r="I44" s="2">
        <f>12805+1088</f>
        <v>13893</v>
      </c>
      <c r="J44" s="2">
        <f>12803+1011</f>
        <v>13814</v>
      </c>
      <c r="K44" s="2">
        <f>12803+933</f>
        <v>13736</v>
      </c>
      <c r="L44" s="2">
        <f>12814+858</f>
        <v>13672</v>
      </c>
      <c r="M44" s="2">
        <f>12788+782</f>
        <v>13570</v>
      </c>
      <c r="V44" s="2">
        <f>12787+1449</f>
        <v>14236</v>
      </c>
      <c r="W44" s="2">
        <f>12805+1088</f>
        <v>13893</v>
      </c>
      <c r="X44" s="2">
        <f>12788+782</f>
        <v>13570</v>
      </c>
    </row>
    <row r="45" spans="1:38" x14ac:dyDescent="0.2">
      <c r="A45" s="2" t="s">
        <v>43</v>
      </c>
      <c r="B45" s="2">
        <v>950</v>
      </c>
      <c r="C45" s="2">
        <v>882</v>
      </c>
      <c r="D45" s="2">
        <v>799</v>
      </c>
      <c r="E45" s="2">
        <v>777</v>
      </c>
      <c r="F45" s="2">
        <v>826</v>
      </c>
      <c r="G45" s="2">
        <v>964</v>
      </c>
      <c r="H45" s="2">
        <v>1065</v>
      </c>
      <c r="I45" s="2">
        <v>1191</v>
      </c>
      <c r="J45" s="2">
        <v>1310</v>
      </c>
      <c r="K45" s="2">
        <v>1436</v>
      </c>
      <c r="L45" s="2">
        <v>1548</v>
      </c>
      <c r="M45" s="2">
        <v>1657</v>
      </c>
      <c r="V45" s="2">
        <v>777</v>
      </c>
      <c r="W45" s="2">
        <v>1191</v>
      </c>
      <c r="X45" s="2">
        <v>1657</v>
      </c>
    </row>
    <row r="46" spans="1:38" x14ac:dyDescent="0.2">
      <c r="A46" s="2" t="s">
        <v>44</v>
      </c>
      <c r="B46" s="2">
        <v>874</v>
      </c>
      <c r="C46" s="2">
        <v>865</v>
      </c>
      <c r="D46" s="2">
        <v>880</v>
      </c>
      <c r="E46" s="2">
        <v>841</v>
      </c>
      <c r="F46" s="2">
        <v>984</v>
      </c>
      <c r="G46" s="2">
        <v>1125</v>
      </c>
      <c r="H46" s="2">
        <v>1239</v>
      </c>
      <c r="I46" s="2">
        <v>1223</v>
      </c>
      <c r="J46" s="2">
        <v>1265</v>
      </c>
      <c r="K46" s="2">
        <v>1462</v>
      </c>
      <c r="L46" s="2">
        <v>1557</v>
      </c>
      <c r="M46" s="2">
        <v>1554</v>
      </c>
      <c r="V46" s="2">
        <v>841</v>
      </c>
      <c r="W46" s="2">
        <v>1223</v>
      </c>
      <c r="X46" s="2">
        <v>1554</v>
      </c>
    </row>
    <row r="47" spans="1:38" s="6" customFormat="1" x14ac:dyDescent="0.2">
      <c r="A47" s="6" t="s">
        <v>45</v>
      </c>
      <c r="B47" s="6">
        <f t="shared" ref="B47:J47" si="67">SUM(B39:B46)</f>
        <v>25976</v>
      </c>
      <c r="C47" s="6">
        <f t="shared" si="67"/>
        <v>26326</v>
      </c>
      <c r="D47" s="6">
        <f t="shared" si="67"/>
        <v>26744</v>
      </c>
      <c r="E47" s="6">
        <f t="shared" si="67"/>
        <v>27165</v>
      </c>
      <c r="F47" s="6">
        <f t="shared" si="67"/>
        <v>26667</v>
      </c>
      <c r="G47" s="6">
        <f t="shared" si="67"/>
        <v>27838</v>
      </c>
      <c r="H47" s="6">
        <f t="shared" si="67"/>
        <v>29090</v>
      </c>
      <c r="I47" s="6">
        <f t="shared" si="67"/>
        <v>29779</v>
      </c>
      <c r="J47" s="6">
        <f t="shared" si="67"/>
        <v>28751</v>
      </c>
      <c r="K47" s="6">
        <f t="shared" ref="K47:L47" si="68">SUM(K39:K46)</f>
        <v>30007</v>
      </c>
      <c r="L47" s="6">
        <f t="shared" si="68"/>
        <v>29830</v>
      </c>
      <c r="M47" s="6">
        <f t="shared" ref="M47" si="69">SUM(M39:M46)</f>
        <v>30230</v>
      </c>
      <c r="V47" s="6">
        <f t="shared" ref="V47" si="70">SUM(V39:V46)</f>
        <v>27165</v>
      </c>
      <c r="W47" s="6">
        <f t="shared" ref="W47" si="71">SUM(W39:W46)</f>
        <v>29779</v>
      </c>
      <c r="X47" s="6">
        <f t="shared" ref="X47" si="72">SUM(X39:X46)</f>
        <v>30230</v>
      </c>
    </row>
    <row r="48" spans="1:38" x14ac:dyDescent="0.2">
      <c r="A48" s="2" t="s">
        <v>46</v>
      </c>
      <c r="B48" s="2">
        <v>295</v>
      </c>
      <c r="C48" s="2">
        <v>366</v>
      </c>
      <c r="D48" s="2">
        <v>316</v>
      </c>
      <c r="E48" s="2">
        <v>379</v>
      </c>
      <c r="F48" s="2">
        <v>308</v>
      </c>
      <c r="G48" s="2">
        <v>346</v>
      </c>
      <c r="H48" s="2">
        <v>314</v>
      </c>
      <c r="I48" s="2">
        <v>314</v>
      </c>
      <c r="J48" s="2">
        <v>300</v>
      </c>
      <c r="K48" s="2">
        <v>357</v>
      </c>
      <c r="L48" s="2">
        <v>318</v>
      </c>
      <c r="M48" s="2">
        <v>361</v>
      </c>
      <c r="V48" s="2">
        <v>379</v>
      </c>
      <c r="W48" s="2">
        <v>314</v>
      </c>
      <c r="X48" s="2">
        <v>361</v>
      </c>
    </row>
    <row r="49" spans="1:24" x14ac:dyDescent="0.2">
      <c r="A49" s="17" t="s">
        <v>85</v>
      </c>
      <c r="B49" s="2">
        <v>1333</v>
      </c>
      <c r="C49" s="2">
        <v>1615</v>
      </c>
      <c r="D49" s="2">
        <v>1629</v>
      </c>
      <c r="E49" s="2">
        <v>1790</v>
      </c>
      <c r="F49" s="2">
        <v>1469</v>
      </c>
      <c r="G49" s="2">
        <v>1786</v>
      </c>
      <c r="H49" s="2">
        <v>1714</v>
      </c>
      <c r="I49" s="2">
        <v>1942</v>
      </c>
      <c r="J49" s="2">
        <v>1569</v>
      </c>
      <c r="K49" s="2">
        <v>1899</v>
      </c>
      <c r="L49" s="2">
        <v>1848</v>
      </c>
      <c r="M49" s="2">
        <v>2336</v>
      </c>
      <c r="V49" s="2">
        <v>1790</v>
      </c>
      <c r="W49" s="2">
        <v>1942</v>
      </c>
      <c r="X49" s="2">
        <v>2336</v>
      </c>
    </row>
    <row r="50" spans="1:24" x14ac:dyDescent="0.2">
      <c r="A50" s="2" t="s">
        <v>35</v>
      </c>
      <c r="B50" s="2">
        <f>499+3626</f>
        <v>4125</v>
      </c>
      <c r="C50" s="2">
        <f>499+3627</f>
        <v>4126</v>
      </c>
      <c r="D50" s="2">
        <f>500+3627</f>
        <v>4127</v>
      </c>
      <c r="E50" s="2">
        <f>500+3629</f>
        <v>4129</v>
      </c>
      <c r="F50" s="2">
        <v>3630</v>
      </c>
      <c r="G50" s="2">
        <v>3631</v>
      </c>
      <c r="H50" s="2">
        <v>3633</v>
      </c>
      <c r="I50" s="2">
        <v>3634</v>
      </c>
      <c r="J50" s="2">
        <f>1497+2138</f>
        <v>3635</v>
      </c>
      <c r="K50" s="2">
        <f>1498+4127</f>
        <v>5625</v>
      </c>
      <c r="L50" s="2">
        <f>1499+4128</f>
        <v>5627</v>
      </c>
      <c r="M50" s="2">
        <f>1499+4129</f>
        <v>5628</v>
      </c>
      <c r="V50" s="2">
        <f>500+3629</f>
        <v>4129</v>
      </c>
      <c r="W50" s="2">
        <v>3634</v>
      </c>
      <c r="X50" s="2">
        <f>1499+4129</f>
        <v>5628</v>
      </c>
    </row>
    <row r="51" spans="1:24" x14ac:dyDescent="0.2">
      <c r="A51" s="2" t="s">
        <v>24</v>
      </c>
      <c r="B51" s="2">
        <f>83+540+4</f>
        <v>627</v>
      </c>
      <c r="C51" s="2">
        <f>62+503+4</f>
        <v>569</v>
      </c>
      <c r="D51" s="2">
        <f>76+510+3</f>
        <v>589</v>
      </c>
      <c r="E51" s="2">
        <f>75+530</f>
        <v>605</v>
      </c>
      <c r="F51" s="2">
        <f>222+536</f>
        <v>758</v>
      </c>
      <c r="G51" s="2">
        <f>548+479</f>
        <v>1027</v>
      </c>
      <c r="H51" s="2">
        <f>857+498</f>
        <v>1355</v>
      </c>
      <c r="I51" s="2">
        <f>85+514</f>
        <v>599</v>
      </c>
      <c r="J51" s="2">
        <f>123+668</f>
        <v>791</v>
      </c>
      <c r="K51" s="2">
        <f>95+591</f>
        <v>686</v>
      </c>
      <c r="L51" s="2">
        <f>130+585</f>
        <v>715</v>
      </c>
      <c r="M51" s="2">
        <f>119+548</f>
        <v>667</v>
      </c>
      <c r="V51" s="2">
        <f>75+530</f>
        <v>605</v>
      </c>
      <c r="W51" s="2">
        <f>85+514</f>
        <v>599</v>
      </c>
      <c r="X51" s="2">
        <f>119+548</f>
        <v>667</v>
      </c>
    </row>
    <row r="52" spans="1:24" x14ac:dyDescent="0.2">
      <c r="A52" s="2" t="s">
        <v>41</v>
      </c>
      <c r="B52" s="2">
        <f>93+447</f>
        <v>540</v>
      </c>
      <c r="C52" s="2">
        <f>90+442</f>
        <v>532</v>
      </c>
      <c r="D52" s="2">
        <f>88+426</f>
        <v>514</v>
      </c>
      <c r="E52" s="2">
        <f>87+417</f>
        <v>504</v>
      </c>
      <c r="F52" s="2">
        <f>81+415</f>
        <v>496</v>
      </c>
      <c r="G52" s="2">
        <f>74+408</f>
        <v>482</v>
      </c>
      <c r="H52" s="2">
        <f>74+389</f>
        <v>463</v>
      </c>
      <c r="I52" s="2">
        <f>73+373</f>
        <v>446</v>
      </c>
      <c r="J52" s="2">
        <f>73+378</f>
        <v>451</v>
      </c>
      <c r="K52" s="2">
        <f>67+398</f>
        <v>465</v>
      </c>
      <c r="L52" s="2">
        <f>70+381</f>
        <v>451</v>
      </c>
      <c r="M52" s="2">
        <f>75+353</f>
        <v>428</v>
      </c>
      <c r="V52" s="2">
        <f>87+417</f>
        <v>504</v>
      </c>
      <c r="W52" s="2">
        <f>73+373</f>
        <v>446</v>
      </c>
      <c r="X52" s="2">
        <f>75+353</f>
        <v>428</v>
      </c>
    </row>
    <row r="53" spans="1:24" x14ac:dyDescent="0.2">
      <c r="A53" s="2" t="s">
        <v>48</v>
      </c>
      <c r="B53" s="2">
        <f>4894+125</f>
        <v>5019</v>
      </c>
      <c r="C53" s="2">
        <f>4753+123</f>
        <v>4876</v>
      </c>
      <c r="D53" s="2">
        <f>4829+114</f>
        <v>4943</v>
      </c>
      <c r="E53" s="2">
        <f>5297+117</f>
        <v>5414</v>
      </c>
      <c r="F53" s="2">
        <f>5357+120</f>
        <v>5477</v>
      </c>
      <c r="G53" s="2">
        <f>5265+116</f>
        <v>5381</v>
      </c>
      <c r="H53" s="2">
        <f>5375+108</f>
        <v>5483</v>
      </c>
      <c r="I53" s="2">
        <f>5837+113</f>
        <v>5950</v>
      </c>
      <c r="J53" s="2">
        <f>5975+135</f>
        <v>6110</v>
      </c>
      <c r="K53" s="2">
        <f>5558+128</f>
        <v>5686</v>
      </c>
      <c r="L53" s="2">
        <f>5779+127</f>
        <v>5906</v>
      </c>
      <c r="M53" s="2">
        <f>6131+128</f>
        <v>6259</v>
      </c>
      <c r="V53" s="2">
        <f>5297+117</f>
        <v>5414</v>
      </c>
      <c r="W53" s="2">
        <f>5837+113</f>
        <v>5950</v>
      </c>
      <c r="X53" s="2">
        <f>6131+128</f>
        <v>6259</v>
      </c>
    </row>
    <row r="54" spans="1:24" x14ac:dyDescent="0.2">
      <c r="A54" s="2" t="s">
        <v>44</v>
      </c>
      <c r="B54" s="2">
        <v>262</v>
      </c>
      <c r="C54" s="2">
        <v>257</v>
      </c>
      <c r="D54" s="2">
        <v>253</v>
      </c>
      <c r="E54" s="2">
        <v>293</v>
      </c>
      <c r="F54" s="2">
        <v>323</v>
      </c>
      <c r="G54" s="2">
        <v>347</v>
      </c>
      <c r="H54" s="2">
        <v>352</v>
      </c>
      <c r="I54" s="2">
        <v>376</v>
      </c>
      <c r="J54" s="2">
        <v>435</v>
      </c>
      <c r="K54" s="2">
        <v>446</v>
      </c>
      <c r="L54" s="2">
        <v>420</v>
      </c>
      <c r="M54" s="2">
        <v>446</v>
      </c>
      <c r="V54" s="2">
        <v>293</v>
      </c>
      <c r="W54" s="2">
        <v>376</v>
      </c>
      <c r="X54" s="2">
        <v>446</v>
      </c>
    </row>
    <row r="55" spans="1:24" s="6" customFormat="1" x14ac:dyDescent="0.2">
      <c r="A55" s="6" t="s">
        <v>47</v>
      </c>
      <c r="B55" s="6">
        <f t="shared" ref="B55:J55" si="73">SUM(B48:B54)</f>
        <v>12201</v>
      </c>
      <c r="C55" s="6">
        <f t="shared" si="73"/>
        <v>12341</v>
      </c>
      <c r="D55" s="6">
        <f t="shared" si="73"/>
        <v>12371</v>
      </c>
      <c r="E55" s="6">
        <f t="shared" si="73"/>
        <v>13114</v>
      </c>
      <c r="F55" s="6">
        <f t="shared" si="73"/>
        <v>12461</v>
      </c>
      <c r="G55" s="6">
        <f t="shared" si="73"/>
        <v>13000</v>
      </c>
      <c r="H55" s="6">
        <f t="shared" si="73"/>
        <v>13314</v>
      </c>
      <c r="I55" s="6">
        <f t="shared" si="73"/>
        <v>13261</v>
      </c>
      <c r="J55" s="6">
        <f t="shared" si="73"/>
        <v>13291</v>
      </c>
      <c r="K55" s="6">
        <f t="shared" ref="K55:L55" si="74">SUM(K48:K54)</f>
        <v>15164</v>
      </c>
      <c r="L55" s="6">
        <f t="shared" si="74"/>
        <v>15285</v>
      </c>
      <c r="M55" s="6">
        <f t="shared" ref="M55" si="75">SUM(M48:M54)</f>
        <v>16125</v>
      </c>
      <c r="V55" s="6">
        <f t="shared" ref="V55" si="76">SUM(V48:V54)</f>
        <v>13114</v>
      </c>
      <c r="W55" s="6">
        <f t="shared" ref="W55:X55" si="77">SUM(W48:W54)</f>
        <v>13261</v>
      </c>
      <c r="X55" s="6">
        <f t="shared" si="77"/>
        <v>16125</v>
      </c>
    </row>
    <row r="56" spans="1:24" x14ac:dyDescent="0.2">
      <c r="A56" s="2" t="s">
        <v>49</v>
      </c>
      <c r="B56" s="2">
        <f t="shared" ref="B56:M56" si="78">+B47-B55</f>
        <v>13775</v>
      </c>
      <c r="C56" s="2">
        <f t="shared" si="78"/>
        <v>13985</v>
      </c>
      <c r="D56" s="2">
        <f t="shared" si="78"/>
        <v>14373</v>
      </c>
      <c r="E56" s="2">
        <f t="shared" si="78"/>
        <v>14051</v>
      </c>
      <c r="F56" s="2">
        <f t="shared" si="78"/>
        <v>14206</v>
      </c>
      <c r="G56" s="2">
        <f t="shared" si="78"/>
        <v>14838</v>
      </c>
      <c r="H56" s="2">
        <f t="shared" si="78"/>
        <v>15776</v>
      </c>
      <c r="I56" s="2">
        <f t="shared" si="78"/>
        <v>16518</v>
      </c>
      <c r="J56" s="2">
        <f t="shared" si="78"/>
        <v>15460</v>
      </c>
      <c r="K56" s="2">
        <f t="shared" si="78"/>
        <v>14843</v>
      </c>
      <c r="L56" s="2">
        <f t="shared" si="78"/>
        <v>14545</v>
      </c>
      <c r="M56" s="2">
        <f t="shared" si="78"/>
        <v>14105</v>
      </c>
      <c r="V56" s="2">
        <f t="shared" ref="V56" si="79">+V47-V55</f>
        <v>14051</v>
      </c>
      <c r="W56" s="2">
        <f t="shared" ref="W56:X56" si="80">+W47-W55</f>
        <v>16518</v>
      </c>
      <c r="X56" s="2">
        <f t="shared" si="80"/>
        <v>14105</v>
      </c>
    </row>
    <row r="57" spans="1:24" x14ac:dyDescent="0.2">
      <c r="A57" s="2" t="s">
        <v>50</v>
      </c>
      <c r="B57" s="2">
        <f t="shared" ref="B57:J57" si="81">+B55+B56</f>
        <v>25976</v>
      </c>
      <c r="C57" s="2">
        <f t="shared" si="81"/>
        <v>26326</v>
      </c>
      <c r="D57" s="2">
        <f t="shared" si="81"/>
        <v>26744</v>
      </c>
      <c r="E57" s="2">
        <f t="shared" si="81"/>
        <v>27165</v>
      </c>
      <c r="F57" s="2">
        <f t="shared" si="81"/>
        <v>26667</v>
      </c>
      <c r="G57" s="2">
        <f t="shared" si="81"/>
        <v>27838</v>
      </c>
      <c r="H57" s="2">
        <f t="shared" si="81"/>
        <v>29090</v>
      </c>
      <c r="I57" s="2">
        <f t="shared" si="81"/>
        <v>29779</v>
      </c>
      <c r="J57" s="2">
        <f t="shared" si="81"/>
        <v>28751</v>
      </c>
      <c r="K57" s="2">
        <f t="shared" ref="K57:L57" si="82">+K55+K56</f>
        <v>30007</v>
      </c>
      <c r="L57" s="2">
        <f t="shared" si="82"/>
        <v>29830</v>
      </c>
      <c r="M57" s="2">
        <f t="shared" ref="M57" si="83">+M55+M56</f>
        <v>30230</v>
      </c>
      <c r="V57" s="2">
        <f t="shared" ref="V57" si="84">+V55+V56</f>
        <v>27165</v>
      </c>
      <c r="W57" s="2">
        <f t="shared" ref="W57:X57" si="85">+W55+W56</f>
        <v>29779</v>
      </c>
      <c r="X57" s="2">
        <f t="shared" si="85"/>
        <v>30230</v>
      </c>
    </row>
    <row r="59" spans="1:24" x14ac:dyDescent="0.2">
      <c r="A59" s="25" t="s">
        <v>114</v>
      </c>
      <c r="E59" s="2">
        <f t="shared" ref="E59:L59" si="86">+SUM(B27:E27)</f>
        <v>4903</v>
      </c>
      <c r="F59" s="2">
        <f t="shared" si="86"/>
        <v>4831</v>
      </c>
      <c r="G59" s="2">
        <f t="shared" si="86"/>
        <v>4887</v>
      </c>
      <c r="H59" s="2">
        <f t="shared" si="86"/>
        <v>5080</v>
      </c>
      <c r="I59" s="2">
        <f t="shared" si="86"/>
        <v>5334</v>
      </c>
      <c r="J59" s="2">
        <f t="shared" si="86"/>
        <v>5663</v>
      </c>
      <c r="K59" s="2">
        <f t="shared" si="86"/>
        <v>5907</v>
      </c>
      <c r="L59" s="2">
        <f t="shared" si="86"/>
        <v>6161</v>
      </c>
      <c r="M59" s="2">
        <f>+SUM(J27:M27)</f>
        <v>6370</v>
      </c>
    </row>
    <row r="60" spans="1:24" s="21" customFormat="1" x14ac:dyDescent="0.2">
      <c r="A60" s="26" t="s">
        <v>115</v>
      </c>
      <c r="E60" s="21">
        <f t="shared" ref="E60:L60" si="87">+E59/(E40+E41+E42+E43+E45+E46+E44)</f>
        <v>0.23271156675684654</v>
      </c>
      <c r="F60" s="21">
        <f t="shared" si="87"/>
        <v>0.22989435614352335</v>
      </c>
      <c r="G60" s="21">
        <f t="shared" si="87"/>
        <v>0.23011724819889814</v>
      </c>
      <c r="H60" s="21">
        <f t="shared" si="87"/>
        <v>0.23546861963474552</v>
      </c>
      <c r="I60" s="21">
        <f t="shared" si="87"/>
        <v>0.24315084104481013</v>
      </c>
      <c r="J60" s="21">
        <f t="shared" si="87"/>
        <v>0.25821895946377277</v>
      </c>
      <c r="K60" s="21">
        <f t="shared" si="87"/>
        <v>0.26920973475526389</v>
      </c>
      <c r="L60" s="21">
        <f t="shared" si="87"/>
        <v>0.27609231458660094</v>
      </c>
      <c r="M60" s="21">
        <f>+M59/(M40+M41+M42+M43+M45+M46+M44)</f>
        <v>0.28508771929824561</v>
      </c>
    </row>
    <row r="63" spans="1:24" x14ac:dyDescent="0.2">
      <c r="A63" s="2" t="s">
        <v>52</v>
      </c>
      <c r="B63" s="2">
        <f t="shared" ref="B63:J63" si="88">+B27</f>
        <v>1317</v>
      </c>
      <c r="C63" s="2">
        <f t="shared" si="88"/>
        <v>1229</v>
      </c>
      <c r="D63" s="2">
        <f t="shared" si="88"/>
        <v>1179</v>
      </c>
      <c r="E63" s="2">
        <f t="shared" si="88"/>
        <v>1178</v>
      </c>
      <c r="F63" s="2">
        <f t="shared" si="88"/>
        <v>1245</v>
      </c>
      <c r="G63" s="2">
        <f t="shared" si="88"/>
        <v>1285</v>
      </c>
      <c r="H63" s="2">
        <f t="shared" si="88"/>
        <v>1372</v>
      </c>
      <c r="I63" s="2">
        <f t="shared" si="88"/>
        <v>1432</v>
      </c>
      <c r="J63" s="2">
        <f t="shared" si="88"/>
        <v>1574</v>
      </c>
      <c r="K63" s="2">
        <f t="shared" ref="K63:M63" si="89">+K27</f>
        <v>1529</v>
      </c>
      <c r="L63" s="2">
        <f t="shared" si="89"/>
        <v>1626</v>
      </c>
      <c r="M63" s="2">
        <f t="shared" si="89"/>
        <v>1641</v>
      </c>
      <c r="W63" s="2">
        <f>+W27</f>
        <v>5334</v>
      </c>
      <c r="X63" s="2">
        <f>+X27</f>
        <v>6370</v>
      </c>
    </row>
    <row r="64" spans="1:24" x14ac:dyDescent="0.2">
      <c r="A64" s="2" t="s">
        <v>53</v>
      </c>
      <c r="B64" s="2">
        <v>1266</v>
      </c>
      <c r="C64" s="2">
        <v>1178</v>
      </c>
      <c r="D64" s="2">
        <v>1136</v>
      </c>
      <c r="E64" s="2">
        <v>1176</v>
      </c>
      <c r="F64" s="2">
        <v>1247</v>
      </c>
      <c r="G64" s="2">
        <v>1295</v>
      </c>
      <c r="H64" s="2">
        <v>1403</v>
      </c>
      <c r="I64" s="2">
        <v>1483</v>
      </c>
      <c r="J64" s="2">
        <v>1620</v>
      </c>
      <c r="K64" s="2">
        <v>1573</v>
      </c>
      <c r="L64" s="2">
        <v>1684</v>
      </c>
      <c r="M64" s="2">
        <v>1683</v>
      </c>
      <c r="W64" s="2">
        <v>5428</v>
      </c>
      <c r="X64" s="2">
        <f>+SUM(J64:M64)</f>
        <v>6560</v>
      </c>
    </row>
    <row r="65" spans="1:27" x14ac:dyDescent="0.2">
      <c r="A65" s="2" t="s">
        <v>54</v>
      </c>
      <c r="B65" s="2">
        <v>213</v>
      </c>
      <c r="C65" s="2">
        <v>212</v>
      </c>
      <c r="D65" s="2">
        <v>216</v>
      </c>
      <c r="E65" s="2">
        <v>215</v>
      </c>
      <c r="F65" s="2">
        <v>212</v>
      </c>
      <c r="G65" s="2">
        <v>220</v>
      </c>
      <c r="H65" s="2">
        <v>218</v>
      </c>
      <c r="I65" s="2">
        <v>222</v>
      </c>
      <c r="J65" s="2">
        <v>212</v>
      </c>
      <c r="K65" s="2">
        <v>214</v>
      </c>
      <c r="L65" s="2">
        <v>213</v>
      </c>
      <c r="M65" s="2">
        <v>218</v>
      </c>
      <c r="W65" s="2">
        <v>872</v>
      </c>
      <c r="X65" s="2">
        <f t="shared" ref="X65:X72" si="90">+SUM(J65:M65)</f>
        <v>857</v>
      </c>
    </row>
    <row r="66" spans="1:27" s="6" customFormat="1" x14ac:dyDescent="0.2">
      <c r="A66" s="6" t="s">
        <v>55</v>
      </c>
      <c r="B66" s="6">
        <v>322</v>
      </c>
      <c r="C66" s="6">
        <v>352</v>
      </c>
      <c r="D66" s="6">
        <v>378</v>
      </c>
      <c r="E66" s="6">
        <v>388</v>
      </c>
      <c r="F66" s="6">
        <v>416</v>
      </c>
      <c r="G66" s="6">
        <v>433</v>
      </c>
      <c r="H66" s="6">
        <v>442</v>
      </c>
      <c r="I66" s="6">
        <v>427</v>
      </c>
      <c r="J66" s="6">
        <v>451</v>
      </c>
      <c r="K66" s="6">
        <v>467</v>
      </c>
      <c r="L66" s="6">
        <v>474</v>
      </c>
      <c r="M66" s="6">
        <v>441</v>
      </c>
      <c r="V66" s="2"/>
      <c r="W66" s="6">
        <v>1718</v>
      </c>
      <c r="X66" s="2">
        <f t="shared" si="90"/>
        <v>1833</v>
      </c>
    </row>
    <row r="67" spans="1:27" s="25" customFormat="1" x14ac:dyDescent="0.2">
      <c r="A67" s="25" t="s">
        <v>41</v>
      </c>
      <c r="M67" s="25">
        <v>78</v>
      </c>
      <c r="V67" s="2"/>
      <c r="W67" s="25">
        <v>72</v>
      </c>
      <c r="X67" s="2">
        <f t="shared" si="90"/>
        <v>78</v>
      </c>
    </row>
    <row r="68" spans="1:27" s="25" customFormat="1" x14ac:dyDescent="0.2">
      <c r="A68" s="25" t="s">
        <v>121</v>
      </c>
      <c r="V68" s="2"/>
      <c r="W68" s="25">
        <v>-426</v>
      </c>
      <c r="X68" s="2">
        <f t="shared" si="90"/>
        <v>0</v>
      </c>
    </row>
    <row r="69" spans="1:27" x14ac:dyDescent="0.2">
      <c r="A69" s="2" t="s">
        <v>56</v>
      </c>
      <c r="B69" s="2">
        <v>17</v>
      </c>
      <c r="C69" s="2">
        <v>10</v>
      </c>
      <c r="D69" s="2">
        <v>6</v>
      </c>
      <c r="E69" s="2">
        <v>-4</v>
      </c>
      <c r="F69" s="2">
        <v>3</v>
      </c>
      <c r="G69" s="2">
        <v>-5</v>
      </c>
      <c r="H69" s="2">
        <v>-5</v>
      </c>
      <c r="I69" s="2">
        <v>-3</v>
      </c>
      <c r="J69" s="2">
        <v>-13</v>
      </c>
      <c r="K69" s="2">
        <v>-1</v>
      </c>
      <c r="L69" s="2">
        <v>-10</v>
      </c>
      <c r="M69" s="2">
        <v>-11</v>
      </c>
      <c r="W69" s="2">
        <v>-10</v>
      </c>
      <c r="X69" s="2">
        <f t="shared" si="90"/>
        <v>-35</v>
      </c>
    </row>
    <row r="70" spans="1:27" x14ac:dyDescent="0.2">
      <c r="A70" s="2" t="s">
        <v>59</v>
      </c>
      <c r="B70" s="2">
        <v>153</v>
      </c>
      <c r="C70" s="2">
        <v>88</v>
      </c>
      <c r="D70" s="2">
        <v>112</v>
      </c>
      <c r="E70" s="2">
        <v>68</v>
      </c>
      <c r="F70" s="2">
        <v>-33</v>
      </c>
      <c r="G70" s="2">
        <v>-102</v>
      </c>
      <c r="H70" s="2">
        <v>-87</v>
      </c>
      <c r="I70" s="2">
        <v>-129</v>
      </c>
      <c r="J70" s="2">
        <v>-97</v>
      </c>
      <c r="K70" s="2">
        <v>-98</v>
      </c>
      <c r="L70" s="2">
        <v>-81</v>
      </c>
      <c r="M70" s="2">
        <v>-105</v>
      </c>
      <c r="W70" s="2">
        <v>3</v>
      </c>
      <c r="X70" s="2">
        <f t="shared" si="90"/>
        <v>-381</v>
      </c>
    </row>
    <row r="71" spans="1:27" x14ac:dyDescent="0.2">
      <c r="A71" s="2" t="s">
        <v>48</v>
      </c>
      <c r="B71" s="2">
        <v>141</v>
      </c>
      <c r="C71" s="2">
        <v>-143</v>
      </c>
      <c r="D71" s="2">
        <v>67</v>
      </c>
      <c r="E71" s="2">
        <v>471</v>
      </c>
      <c r="F71" s="2">
        <v>63</v>
      </c>
      <c r="G71" s="2">
        <v>-96</v>
      </c>
      <c r="H71" s="2">
        <v>102</v>
      </c>
      <c r="I71" s="2">
        <v>467</v>
      </c>
      <c r="J71" s="2">
        <v>160</v>
      </c>
      <c r="K71" s="2">
        <v>-424</v>
      </c>
      <c r="L71" s="2">
        <v>220</v>
      </c>
      <c r="M71" s="2">
        <v>353</v>
      </c>
      <c r="W71" s="2">
        <v>536</v>
      </c>
      <c r="X71" s="2">
        <f t="shared" si="90"/>
        <v>309</v>
      </c>
    </row>
    <row r="72" spans="1:27" x14ac:dyDescent="0.2">
      <c r="A72" s="2" t="s">
        <v>57</v>
      </c>
      <c r="B72" s="2">
        <v>-343</v>
      </c>
      <c r="C72" s="2">
        <v>343</v>
      </c>
      <c r="D72" s="2">
        <v>-211</v>
      </c>
      <c r="E72" s="2">
        <v>11</v>
      </c>
      <c r="F72" s="2">
        <v>-215</v>
      </c>
      <c r="G72" s="2">
        <v>394</v>
      </c>
      <c r="H72" s="2">
        <v>-200</v>
      </c>
      <c r="I72" s="2">
        <v>-870</v>
      </c>
      <c r="J72" s="2">
        <v>-159</v>
      </c>
      <c r="K72" s="2">
        <v>209</v>
      </c>
      <c r="L72" s="2">
        <v>-479</v>
      </c>
      <c r="M72" s="2">
        <v>264</v>
      </c>
      <c r="W72" s="2">
        <f>-159-818-49+146-11</f>
        <v>-891</v>
      </c>
      <c r="X72" s="2">
        <f t="shared" si="90"/>
        <v>-165</v>
      </c>
    </row>
    <row r="73" spans="1:27" s="6" customFormat="1" x14ac:dyDescent="0.2">
      <c r="A73" s="6" t="s">
        <v>58</v>
      </c>
      <c r="B73" s="6">
        <f t="shared" ref="B73:M73" si="91">SUM(B64:B72)</f>
        <v>1769</v>
      </c>
      <c r="C73" s="6">
        <f t="shared" si="91"/>
        <v>2040</v>
      </c>
      <c r="D73" s="6">
        <f t="shared" si="91"/>
        <v>1704</v>
      </c>
      <c r="E73" s="6">
        <f t="shared" si="91"/>
        <v>2325</v>
      </c>
      <c r="F73" s="6">
        <f t="shared" si="91"/>
        <v>1693</v>
      </c>
      <c r="G73" s="6">
        <f t="shared" si="91"/>
        <v>2139</v>
      </c>
      <c r="H73" s="6">
        <f t="shared" si="91"/>
        <v>1873</v>
      </c>
      <c r="I73" s="6">
        <f t="shared" si="91"/>
        <v>1597</v>
      </c>
      <c r="J73" s="6">
        <f t="shared" si="91"/>
        <v>2174</v>
      </c>
      <c r="K73" s="6">
        <f t="shared" si="91"/>
        <v>1940</v>
      </c>
      <c r="L73" s="6">
        <f t="shared" si="91"/>
        <v>2021</v>
      </c>
      <c r="M73" s="6">
        <f t="shared" si="91"/>
        <v>2921</v>
      </c>
      <c r="V73" s="2"/>
      <c r="W73" s="6">
        <f>+SUM(W64:W72)</f>
        <v>7302</v>
      </c>
      <c r="X73" s="6">
        <f>+SUM(X64:X72)</f>
        <v>9056</v>
      </c>
    </row>
    <row r="75" spans="1:27" s="6" customFormat="1" ht="15" customHeight="1" x14ac:dyDescent="0.2">
      <c r="A75" s="6" t="s">
        <v>62</v>
      </c>
      <c r="B75" s="6">
        <v>-100</v>
      </c>
      <c r="C75" s="6">
        <v>-126</v>
      </c>
      <c r="D75" s="6">
        <v>-125</v>
      </c>
      <c r="E75" s="6">
        <v>-91</v>
      </c>
      <c r="F75" s="6">
        <v>-101</v>
      </c>
      <c r="G75" s="6">
        <v>-121</v>
      </c>
      <c r="H75" s="6">
        <v>-91</v>
      </c>
      <c r="I75" s="6">
        <v>-47</v>
      </c>
      <c r="J75" s="6">
        <v>-37</v>
      </c>
      <c r="K75" s="6">
        <v>-41</v>
      </c>
      <c r="L75" s="6">
        <v>-57</v>
      </c>
      <c r="M75" s="6">
        <v>-48</v>
      </c>
      <c r="W75" s="6">
        <f>-360</f>
        <v>-360</v>
      </c>
      <c r="X75" s="6">
        <f>+SUM(J75:M75)</f>
        <v>-183</v>
      </c>
    </row>
    <row r="76" spans="1:27" x14ac:dyDescent="0.2">
      <c r="A76" s="2" t="s">
        <v>60</v>
      </c>
      <c r="B76" s="2">
        <f>+-26+-28</f>
        <v>-54</v>
      </c>
      <c r="C76" s="2">
        <f>10+-2</f>
        <v>8</v>
      </c>
      <c r="D76" s="2">
        <f>31+-9</f>
        <v>22</v>
      </c>
      <c r="E76" s="2">
        <f>29+-7</f>
        <v>22</v>
      </c>
      <c r="F76" s="2">
        <f>287+-30</f>
        <v>257</v>
      </c>
      <c r="G76" s="2">
        <f>446+-3</f>
        <v>443</v>
      </c>
      <c r="H76" s="2">
        <v>236</v>
      </c>
      <c r="I76" s="2">
        <f>219+-19</f>
        <v>200</v>
      </c>
      <c r="J76" s="2">
        <f>139+-36</f>
        <v>103</v>
      </c>
      <c r="K76" s="2">
        <f>163-11</f>
        <v>152</v>
      </c>
      <c r="L76" s="2">
        <f>86-76</f>
        <v>10</v>
      </c>
      <c r="M76" s="2">
        <f>50+17</f>
        <v>67</v>
      </c>
      <c r="W76" s="2">
        <f>965+223-53+1</f>
        <v>1136</v>
      </c>
      <c r="X76" s="6">
        <f t="shared" ref="X76:X77" si="92">+SUM(J76:M76)</f>
        <v>332</v>
      </c>
    </row>
    <row r="77" spans="1:27" x14ac:dyDescent="0.2">
      <c r="A77" s="2" t="s">
        <v>67</v>
      </c>
      <c r="B77" s="2">
        <v>-106</v>
      </c>
      <c r="C77" s="2">
        <v>-20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W77" s="2">
        <v>0</v>
      </c>
      <c r="X77" s="6">
        <f t="shared" si="92"/>
        <v>0</v>
      </c>
    </row>
    <row r="78" spans="1:27" x14ac:dyDescent="0.2">
      <c r="A78" s="2" t="s">
        <v>61</v>
      </c>
      <c r="B78" s="2">
        <f t="shared" ref="B78:J78" si="93">SUM(B75:B77)</f>
        <v>-260</v>
      </c>
      <c r="C78" s="2">
        <f t="shared" si="93"/>
        <v>-138</v>
      </c>
      <c r="D78" s="2">
        <f t="shared" si="93"/>
        <v>-103</v>
      </c>
      <c r="E78" s="2">
        <f t="shared" si="93"/>
        <v>-69</v>
      </c>
      <c r="F78" s="2">
        <f t="shared" si="93"/>
        <v>156</v>
      </c>
      <c r="G78" s="2">
        <f t="shared" si="93"/>
        <v>322</v>
      </c>
      <c r="H78" s="2">
        <f t="shared" si="93"/>
        <v>145</v>
      </c>
      <c r="I78" s="2">
        <f t="shared" si="93"/>
        <v>153</v>
      </c>
      <c r="J78" s="2">
        <f t="shared" si="93"/>
        <v>66</v>
      </c>
      <c r="K78" s="2">
        <f>SUM(K75:K77)</f>
        <v>111</v>
      </c>
      <c r="L78" s="2">
        <f>SUM(L75:L77)</f>
        <v>-47</v>
      </c>
      <c r="M78" s="2">
        <f>SUM(M75:M77)</f>
        <v>19</v>
      </c>
      <c r="W78" s="2">
        <f>+SUM(W75:W77)</f>
        <v>776</v>
      </c>
      <c r="X78" s="2">
        <f>+SUM(X75:X77)</f>
        <v>149</v>
      </c>
    </row>
    <row r="80" spans="1:27" x14ac:dyDescent="0.2">
      <c r="A80" s="2" t="s">
        <v>63</v>
      </c>
      <c r="B80" s="2">
        <v>-2400</v>
      </c>
      <c r="C80" s="2">
        <v>-1200</v>
      </c>
      <c r="D80" s="2">
        <v>-1200</v>
      </c>
      <c r="E80" s="2">
        <v>-1750</v>
      </c>
      <c r="F80" s="2">
        <v>-1400</v>
      </c>
      <c r="G80" s="2">
        <v>-1000</v>
      </c>
      <c r="H80" s="2">
        <v>-1000</v>
      </c>
      <c r="I80" s="2">
        <v>-1000</v>
      </c>
      <c r="J80" s="2">
        <v>-2000</v>
      </c>
      <c r="K80" s="2">
        <v>-2500</v>
      </c>
      <c r="L80" s="2">
        <v>-2500</v>
      </c>
      <c r="M80" s="2">
        <v>-2500</v>
      </c>
      <c r="V80" s="2">
        <v>6550</v>
      </c>
      <c r="W80" s="2">
        <v>-4400</v>
      </c>
      <c r="X80" s="2">
        <f>+SUM(J80:M80)</f>
        <v>-9500</v>
      </c>
      <c r="Y80" s="2">
        <v>6250</v>
      </c>
      <c r="Z80" s="2">
        <v>6250</v>
      </c>
      <c r="AA80" s="2">
        <v>6250</v>
      </c>
    </row>
    <row r="81" spans="1:35" x14ac:dyDescent="0.2">
      <c r="A81" s="25" t="s">
        <v>119</v>
      </c>
      <c r="B81" s="2">
        <v>-175</v>
      </c>
      <c r="C81" s="2">
        <v>-101</v>
      </c>
      <c r="D81" s="2">
        <v>103</v>
      </c>
      <c r="E81" s="2">
        <v>-67</v>
      </c>
      <c r="F81" s="2">
        <v>-95</v>
      </c>
      <c r="G81" s="2">
        <v>-102</v>
      </c>
      <c r="H81" s="2">
        <v>124</v>
      </c>
      <c r="I81" s="2">
        <v>-202</v>
      </c>
      <c r="J81" s="2">
        <v>-125</v>
      </c>
      <c r="K81" s="2">
        <v>-135</v>
      </c>
      <c r="L81" s="2">
        <v>96</v>
      </c>
      <c r="M81" s="2">
        <v>-152</v>
      </c>
      <c r="W81" s="2">
        <v>314</v>
      </c>
      <c r="X81" s="2">
        <f t="shared" ref="X81:X84" si="94">+SUM(J81:M81)</f>
        <v>-316</v>
      </c>
    </row>
    <row r="82" spans="1:35" x14ac:dyDescent="0.2">
      <c r="A82" s="25" t="s">
        <v>120</v>
      </c>
      <c r="W82" s="2">
        <v>-589</v>
      </c>
      <c r="X82" s="2">
        <f t="shared" si="94"/>
        <v>0</v>
      </c>
    </row>
    <row r="83" spans="1:35" x14ac:dyDescent="0.2">
      <c r="A83" s="17" t="s">
        <v>35</v>
      </c>
      <c r="F83" s="2">
        <v>-500</v>
      </c>
      <c r="K83" s="2">
        <v>1997</v>
      </c>
      <c r="L83" s="2">
        <v>0</v>
      </c>
      <c r="M83" s="2">
        <v>0</v>
      </c>
      <c r="W83" s="2">
        <v>-500</v>
      </c>
      <c r="X83" s="2">
        <f t="shared" si="94"/>
        <v>1997</v>
      </c>
    </row>
    <row r="84" spans="1:35" x14ac:dyDescent="0.2">
      <c r="A84" s="2" t="s">
        <v>44</v>
      </c>
      <c r="B84" s="2">
        <v>-29</v>
      </c>
      <c r="C84" s="2">
        <v>51</v>
      </c>
      <c r="D84" s="2">
        <v>37</v>
      </c>
      <c r="E84" s="2">
        <v>-94</v>
      </c>
      <c r="F84" s="2">
        <f>-19</f>
        <v>-19</v>
      </c>
      <c r="G84" s="2">
        <v>22</v>
      </c>
      <c r="H84" s="2">
        <v>5</v>
      </c>
      <c r="I84" s="2">
        <v>-15</v>
      </c>
      <c r="J84" s="2">
        <v>-3</v>
      </c>
      <c r="K84" s="2">
        <v>-4</v>
      </c>
      <c r="L84" s="2">
        <v>-49</v>
      </c>
      <c r="M84" s="2">
        <v>151</v>
      </c>
      <c r="W84" s="2">
        <v>-7</v>
      </c>
      <c r="X84" s="2">
        <f t="shared" si="94"/>
        <v>95</v>
      </c>
    </row>
    <row r="85" spans="1:35" x14ac:dyDescent="0.2">
      <c r="A85" s="2" t="s">
        <v>64</v>
      </c>
      <c r="B85" s="2">
        <f t="shared" ref="B85:J85" si="95">SUM(B80:B84)</f>
        <v>-2604</v>
      </c>
      <c r="C85" s="2">
        <f t="shared" si="95"/>
        <v>-1250</v>
      </c>
      <c r="D85" s="2">
        <f t="shared" si="95"/>
        <v>-1060</v>
      </c>
      <c r="E85" s="2">
        <f t="shared" si="95"/>
        <v>-1911</v>
      </c>
      <c r="F85" s="2">
        <f t="shared" si="95"/>
        <v>-2014</v>
      </c>
      <c r="G85" s="2">
        <f t="shared" si="95"/>
        <v>-1080</v>
      </c>
      <c r="H85" s="2">
        <f t="shared" si="95"/>
        <v>-871</v>
      </c>
      <c r="I85" s="2">
        <f t="shared" si="95"/>
        <v>-1217</v>
      </c>
      <c r="J85" s="2">
        <f t="shared" si="95"/>
        <v>-2128</v>
      </c>
      <c r="K85" s="2">
        <f>SUM(K80:K84)</f>
        <v>-642</v>
      </c>
      <c r="L85" s="2">
        <f>SUM(L80:L84)</f>
        <v>-2453</v>
      </c>
      <c r="M85" s="2">
        <f>SUM(M80:M84)</f>
        <v>-2501</v>
      </c>
      <c r="W85" s="2">
        <f>+SUM(W80:W84)</f>
        <v>-5182</v>
      </c>
      <c r="X85" s="2">
        <f>+SUM(X80:X84)</f>
        <v>-7724</v>
      </c>
    </row>
    <row r="87" spans="1:35" x14ac:dyDescent="0.2">
      <c r="A87" s="2" t="s">
        <v>65</v>
      </c>
      <c r="B87" s="2">
        <v>-10</v>
      </c>
      <c r="C87" s="2">
        <v>-26</v>
      </c>
      <c r="D87" s="2">
        <v>-36</v>
      </c>
      <c r="E87" s="2">
        <v>21</v>
      </c>
      <c r="F87" s="2">
        <v>1</v>
      </c>
      <c r="G87" s="2">
        <v>3</v>
      </c>
      <c r="H87" s="2">
        <v>-2</v>
      </c>
      <c r="I87" s="2">
        <v>7</v>
      </c>
      <c r="J87" s="2">
        <v>1</v>
      </c>
      <c r="K87" s="2">
        <v>-3</v>
      </c>
      <c r="L87" s="2">
        <v>12</v>
      </c>
      <c r="M87" s="2">
        <v>-19</v>
      </c>
      <c r="W87" s="2">
        <v>9</v>
      </c>
      <c r="X87" s="2">
        <f>+SUM(J87:M87)</f>
        <v>-9</v>
      </c>
    </row>
    <row r="88" spans="1:35" x14ac:dyDescent="0.2">
      <c r="A88" s="2" t="s">
        <v>66</v>
      </c>
      <c r="B88" s="2">
        <f t="shared" ref="B88:K88" si="96">+B87+B85+B78+B73</f>
        <v>-1105</v>
      </c>
      <c r="C88" s="2">
        <f t="shared" si="96"/>
        <v>626</v>
      </c>
      <c r="D88" s="2">
        <f t="shared" si="96"/>
        <v>505</v>
      </c>
      <c r="E88" s="2">
        <f t="shared" si="96"/>
        <v>366</v>
      </c>
      <c r="F88" s="2">
        <f t="shared" si="96"/>
        <v>-164</v>
      </c>
      <c r="G88" s="2">
        <f t="shared" si="96"/>
        <v>1384</v>
      </c>
      <c r="H88" s="2">
        <f t="shared" si="96"/>
        <v>1145</v>
      </c>
      <c r="I88" s="2">
        <f t="shared" si="96"/>
        <v>540</v>
      </c>
      <c r="J88" s="2">
        <f t="shared" si="96"/>
        <v>113</v>
      </c>
      <c r="K88" s="2">
        <f t="shared" si="96"/>
        <v>1406</v>
      </c>
      <c r="L88" s="2">
        <f>+L87+L85+L78+L73</f>
        <v>-467</v>
      </c>
      <c r="M88" s="2">
        <f>+M87+M85+M78+M73</f>
        <v>420</v>
      </c>
      <c r="W88" s="2">
        <f>+W73+W78+W85+W87</f>
        <v>2905</v>
      </c>
      <c r="X88" s="2">
        <f>+X73+X78+X85+X87</f>
        <v>1472</v>
      </c>
    </row>
    <row r="90" spans="1:35" x14ac:dyDescent="0.2">
      <c r="A90" s="13" t="s">
        <v>83</v>
      </c>
      <c r="B90" s="2">
        <f t="shared" ref="B90:I90" si="97">+B73+B75</f>
        <v>1669</v>
      </c>
      <c r="C90" s="2">
        <f t="shared" si="97"/>
        <v>1914</v>
      </c>
      <c r="D90" s="2">
        <f t="shared" si="97"/>
        <v>1579</v>
      </c>
      <c r="E90" s="2">
        <f t="shared" si="97"/>
        <v>2234</v>
      </c>
      <c r="F90" s="2">
        <f t="shared" si="97"/>
        <v>1592</v>
      </c>
      <c r="G90" s="2">
        <f t="shared" si="97"/>
        <v>2018</v>
      </c>
      <c r="H90" s="2">
        <f t="shared" si="97"/>
        <v>1782</v>
      </c>
      <c r="I90" s="2">
        <f t="shared" si="97"/>
        <v>1550</v>
      </c>
      <c r="J90" s="2">
        <f>+J73+J75</f>
        <v>2137</v>
      </c>
      <c r="K90" s="2">
        <f>+K73+K75</f>
        <v>1899</v>
      </c>
      <c r="L90" s="2">
        <f>+L73+L75</f>
        <v>1964</v>
      </c>
      <c r="M90" s="2">
        <f>+M73+M75</f>
        <v>2873</v>
      </c>
      <c r="W90" s="2">
        <f>+W73+W75</f>
        <v>6942</v>
      </c>
      <c r="X90" s="2">
        <f>+X73+X75</f>
        <v>8873</v>
      </c>
    </row>
    <row r="91" spans="1:35" x14ac:dyDescent="0.2">
      <c r="A91" s="13" t="s">
        <v>84</v>
      </c>
      <c r="E91" s="2">
        <f>+SUM(B90:E90)</f>
        <v>7396</v>
      </c>
      <c r="F91" s="2">
        <f t="shared" ref="F91:J91" si="98">+SUM(C90:F90)</f>
        <v>7319</v>
      </c>
      <c r="G91" s="2">
        <f t="shared" si="98"/>
        <v>7423</v>
      </c>
      <c r="H91" s="2">
        <f t="shared" si="98"/>
        <v>7626</v>
      </c>
      <c r="I91" s="2">
        <f t="shared" si="98"/>
        <v>6942</v>
      </c>
      <c r="J91" s="2">
        <f t="shared" si="98"/>
        <v>7487</v>
      </c>
      <c r="K91" s="2">
        <f>+SUM(H90:K90)</f>
        <v>7368</v>
      </c>
      <c r="L91" s="2">
        <f>+SUM(I90:L90)</f>
        <v>7550</v>
      </c>
      <c r="M91" s="2">
        <f>+SUM(J90:M90)</f>
        <v>8873</v>
      </c>
    </row>
    <row r="92" spans="1:35" x14ac:dyDescent="0.2">
      <c r="A92" s="25" t="s">
        <v>122</v>
      </c>
      <c r="B92" s="2">
        <f t="shared" ref="B92:J92" si="99">+B73+B75-B66</f>
        <v>1347</v>
      </c>
      <c r="C92" s="2">
        <f t="shared" si="99"/>
        <v>1562</v>
      </c>
      <c r="D92" s="2">
        <f t="shared" si="99"/>
        <v>1201</v>
      </c>
      <c r="E92" s="2">
        <f t="shared" si="99"/>
        <v>1846</v>
      </c>
      <c r="F92" s="2">
        <f t="shared" si="99"/>
        <v>1176</v>
      </c>
      <c r="G92" s="2">
        <f t="shared" si="99"/>
        <v>1585</v>
      </c>
      <c r="H92" s="2">
        <f t="shared" si="99"/>
        <v>1340</v>
      </c>
      <c r="I92" s="2">
        <f t="shared" si="99"/>
        <v>1123</v>
      </c>
      <c r="J92" s="2">
        <f t="shared" si="99"/>
        <v>1686</v>
      </c>
      <c r="K92" s="2">
        <f t="shared" ref="K92:L92" si="100">+K73+K75-K66</f>
        <v>1432</v>
      </c>
      <c r="L92" s="2">
        <f t="shared" si="100"/>
        <v>1490</v>
      </c>
      <c r="M92" s="2">
        <f>+M73+M75-M66</f>
        <v>2432</v>
      </c>
      <c r="W92" s="2">
        <f>+W90-W66</f>
        <v>5224</v>
      </c>
      <c r="X92" s="2">
        <f>+X90-X66</f>
        <v>7040</v>
      </c>
      <c r="Y92" s="2">
        <f>+Y13*$Y$95</f>
        <v>7261.75</v>
      </c>
      <c r="Z92" s="2">
        <f t="shared" ref="Z92:AI92" si="101">+Z13*$Y$95</f>
        <v>8278.3949999999986</v>
      </c>
      <c r="AA92" s="2">
        <f t="shared" si="101"/>
        <v>9437.3702999999987</v>
      </c>
      <c r="AB92" s="2">
        <f t="shared" si="101"/>
        <v>10758.602141999998</v>
      </c>
      <c r="AC92" s="2">
        <f t="shared" si="101"/>
        <v>12264.806441879997</v>
      </c>
      <c r="AD92" s="2">
        <f t="shared" si="101"/>
        <v>13981.879343743196</v>
      </c>
      <c r="AE92" s="2">
        <f t="shared" si="101"/>
        <v>15939.342451867242</v>
      </c>
      <c r="AF92" s="2">
        <f t="shared" si="101"/>
        <v>18170.850395128655</v>
      </c>
      <c r="AG92" s="2">
        <f t="shared" si="101"/>
        <v>20714.769450446664</v>
      </c>
      <c r="AH92" s="2">
        <f t="shared" si="101"/>
        <v>23614.837173509193</v>
      </c>
      <c r="AI92" s="2">
        <f t="shared" si="101"/>
        <v>26920.914377800476</v>
      </c>
    </row>
    <row r="93" spans="1:35" x14ac:dyDescent="0.2">
      <c r="A93" s="25" t="s">
        <v>123</v>
      </c>
      <c r="E93" s="2">
        <f t="shared" ref="E93:L93" si="102">+SUM(B92:E92)</f>
        <v>5956</v>
      </c>
      <c r="F93" s="2">
        <f t="shared" si="102"/>
        <v>5785</v>
      </c>
      <c r="G93" s="2">
        <f t="shared" si="102"/>
        <v>5808</v>
      </c>
      <c r="H93" s="2">
        <f t="shared" si="102"/>
        <v>5947</v>
      </c>
      <c r="I93" s="2">
        <f t="shared" si="102"/>
        <v>5224</v>
      </c>
      <c r="J93" s="2">
        <f t="shared" si="102"/>
        <v>5734</v>
      </c>
      <c r="K93" s="2">
        <f t="shared" si="102"/>
        <v>5581</v>
      </c>
      <c r="L93" s="2">
        <f t="shared" si="102"/>
        <v>5731</v>
      </c>
      <c r="M93" s="2">
        <f>+SUM(J92:M92)</f>
        <v>7040</v>
      </c>
    </row>
    <row r="95" spans="1:35" s="21" customFormat="1" x14ac:dyDescent="0.2">
      <c r="A95" s="26" t="s">
        <v>124</v>
      </c>
      <c r="E95" s="21">
        <f t="shared" ref="E95:L95" si="103">+E92/E13</f>
        <v>0.40795580110497237</v>
      </c>
      <c r="F95" s="21">
        <f t="shared" si="103"/>
        <v>0.25263157894736843</v>
      </c>
      <c r="G95" s="21">
        <f t="shared" si="103"/>
        <v>0.32911129568106312</v>
      </c>
      <c r="H95" s="21">
        <f t="shared" si="103"/>
        <v>0.27402862985685073</v>
      </c>
      <c r="I95" s="21">
        <f t="shared" si="103"/>
        <v>0.22246434231378764</v>
      </c>
      <c r="J95" s="21">
        <f t="shared" si="103"/>
        <v>0.32535700501736781</v>
      </c>
      <c r="K95" s="21">
        <f t="shared" si="103"/>
        <v>0.26973064607270675</v>
      </c>
      <c r="L95" s="21">
        <f t="shared" si="103"/>
        <v>0.27551775147928992</v>
      </c>
      <c r="M95" s="21">
        <f>+M92/M13</f>
        <v>0.43382090617195862</v>
      </c>
      <c r="Y95" s="21">
        <v>0.31</v>
      </c>
    </row>
  </sheetData>
  <mergeCells count="1">
    <mergeCell ref="Z1:AB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2024-03-15T15:09:02Z</dcterms:created>
  <dcterms:modified xsi:type="dcterms:W3CDTF">2025-01-13T21:13:01Z</dcterms:modified>
</cp:coreProperties>
</file>