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3E30C473-F5B0-4B7A-9336-59A4DAAB02D7}" xr6:coauthVersionLast="47" xr6:coauthVersionMax="47" xr10:uidLastSave="{00000000-0000-0000-0000-000000000000}"/>
  <bookViews>
    <workbookView xWindow="285" yWindow="120" windowWidth="13725" windowHeight="15360" activeTab="1" xr2:uid="{A8E201FD-1614-4E91-AAF6-6AC4E6A49BE3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6" i="2" l="1"/>
  <c r="AR16" i="2" s="1"/>
  <c r="AS24" i="2"/>
  <c r="AH13" i="2"/>
  <c r="AI13" i="2" s="1"/>
  <c r="AJ13" i="2" s="1"/>
  <c r="AK13" i="2" s="1"/>
  <c r="AL13" i="2" s="1"/>
  <c r="AM13" i="2" s="1"/>
  <c r="AN13" i="2" s="1"/>
  <c r="AO13" i="2" s="1"/>
  <c r="AP13" i="2" s="1"/>
  <c r="AG13" i="2"/>
  <c r="AG12" i="2"/>
  <c r="AS16" i="2" l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EG16" i="2" s="1"/>
  <c r="EH16" i="2" s="1"/>
  <c r="EI16" i="2" s="1"/>
  <c r="EJ16" i="2" s="1"/>
  <c r="EK16" i="2" s="1"/>
  <c r="EL16" i="2" s="1"/>
  <c r="EM16" i="2" s="1"/>
  <c r="AS23" i="2" l="1"/>
  <c r="AS25" i="2" s="1"/>
  <c r="AS26" i="2" s="1"/>
  <c r="AS28" i="2" s="1"/>
  <c r="AH18" i="2" l="1"/>
  <c r="AI18" i="2" s="1"/>
  <c r="AJ18" i="2" s="1"/>
  <c r="AK18" i="2" s="1"/>
  <c r="AL18" i="2" s="1"/>
  <c r="AM18" i="2" s="1"/>
  <c r="AN18" i="2" s="1"/>
  <c r="AO18" i="2" s="1"/>
  <c r="AP18" i="2" s="1"/>
  <c r="AG18" i="2"/>
  <c r="AG14" i="2"/>
  <c r="AG15" i="2" s="1"/>
  <c r="AP11" i="2"/>
  <c r="AO11" i="2"/>
  <c r="AN11" i="2"/>
  <c r="AM11" i="2"/>
  <c r="AL11" i="2"/>
  <c r="AK11" i="2"/>
  <c r="AJ11" i="2"/>
  <c r="AI11" i="2"/>
  <c r="AH11" i="2"/>
  <c r="AG11" i="2"/>
  <c r="AP10" i="2"/>
  <c r="AO10" i="2"/>
  <c r="AN10" i="2"/>
  <c r="AM10" i="2"/>
  <c r="AL10" i="2"/>
  <c r="AK10" i="2"/>
  <c r="AJ10" i="2"/>
  <c r="AI10" i="2"/>
  <c r="AH10" i="2"/>
  <c r="AG10" i="2"/>
  <c r="AP9" i="2"/>
  <c r="AO9" i="2"/>
  <c r="AN9" i="2"/>
  <c r="AM9" i="2"/>
  <c r="AL9" i="2"/>
  <c r="AK9" i="2"/>
  <c r="AJ9" i="2"/>
  <c r="AI9" i="2"/>
  <c r="AH9" i="2"/>
  <c r="AG9" i="2"/>
  <c r="AP8" i="2"/>
  <c r="AO8" i="2"/>
  <c r="AN8" i="2"/>
  <c r="AM8" i="2"/>
  <c r="AL8" i="2"/>
  <c r="AK8" i="2"/>
  <c r="AJ8" i="2"/>
  <c r="AI8" i="2"/>
  <c r="AH8" i="2"/>
  <c r="AG8" i="2"/>
  <c r="AP7" i="2"/>
  <c r="AO7" i="2"/>
  <c r="AN7" i="2"/>
  <c r="AM7" i="2"/>
  <c r="AL7" i="2"/>
  <c r="AK7" i="2"/>
  <c r="AJ7" i="2"/>
  <c r="AI7" i="2"/>
  <c r="AH7" i="2"/>
  <c r="AG7" i="2"/>
  <c r="AE22" i="2"/>
  <c r="AD22" i="2"/>
  <c r="AC22" i="2"/>
  <c r="AB22" i="2"/>
  <c r="AA22" i="2"/>
  <c r="AE21" i="2"/>
  <c r="AD21" i="2"/>
  <c r="AC21" i="2"/>
  <c r="AB21" i="2"/>
  <c r="AA21" i="2"/>
  <c r="AF22" i="2"/>
  <c r="AF21" i="2"/>
  <c r="AE28" i="2"/>
  <c r="AD28" i="2"/>
  <c r="AC28" i="2"/>
  <c r="AB28" i="2"/>
  <c r="AE27" i="2"/>
  <c r="AD27" i="2"/>
  <c r="AC27" i="2"/>
  <c r="AB27" i="2"/>
  <c r="AF28" i="2"/>
  <c r="AF27" i="2"/>
  <c r="AG5" i="2"/>
  <c r="AG6" i="2" s="1"/>
  <c r="AG4" i="2"/>
  <c r="AH4" i="2" s="1"/>
  <c r="K10" i="1"/>
  <c r="M82" i="2"/>
  <c r="P82" i="2"/>
  <c r="Q82" i="2" s="1"/>
  <c r="P77" i="2"/>
  <c r="Q77" i="2" s="1"/>
  <c r="O93" i="2"/>
  <c r="O89" i="2"/>
  <c r="O85" i="2"/>
  <c r="P85" i="2" s="1"/>
  <c r="Q85" i="2" s="1"/>
  <c r="O84" i="2"/>
  <c r="P84" i="2" s="1"/>
  <c r="Q84" i="2" s="1"/>
  <c r="O83" i="2"/>
  <c r="O79" i="2"/>
  <c r="O78" i="2"/>
  <c r="P78" i="2" s="1"/>
  <c r="O70" i="2"/>
  <c r="P70" i="2" s="1"/>
  <c r="K71" i="2"/>
  <c r="L71" i="2" s="1"/>
  <c r="M71" i="2" s="1"/>
  <c r="K70" i="2"/>
  <c r="K93" i="2"/>
  <c r="L93" i="2" s="1"/>
  <c r="K90" i="2"/>
  <c r="L90" i="2" s="1"/>
  <c r="M90" i="2" s="1"/>
  <c r="K83" i="2"/>
  <c r="K76" i="2"/>
  <c r="K79" i="2"/>
  <c r="L79" i="2" s="1"/>
  <c r="K78" i="2"/>
  <c r="L78" i="2" s="1"/>
  <c r="N91" i="2"/>
  <c r="N88" i="2"/>
  <c r="O88" i="2" s="1"/>
  <c r="P88" i="2" s="1"/>
  <c r="J91" i="2"/>
  <c r="J88" i="2"/>
  <c r="K88" i="2" s="1"/>
  <c r="J75" i="2"/>
  <c r="K75" i="2" s="1"/>
  <c r="L75" i="2" s="1"/>
  <c r="K86" i="2"/>
  <c r="L86" i="2" s="1"/>
  <c r="K89" i="2"/>
  <c r="L89" i="2" s="1"/>
  <c r="K85" i="2"/>
  <c r="L85" i="2" s="1"/>
  <c r="K87" i="2"/>
  <c r="L87" i="2" s="1"/>
  <c r="K84" i="2"/>
  <c r="L84" i="2" s="1"/>
  <c r="K77" i="2"/>
  <c r="L77" i="2" s="1"/>
  <c r="K74" i="2"/>
  <c r="L74" i="2" s="1"/>
  <c r="K68" i="2"/>
  <c r="K67" i="2"/>
  <c r="K66" i="2"/>
  <c r="K65" i="2"/>
  <c r="K64" i="2"/>
  <c r="K63" i="2"/>
  <c r="K62" i="2"/>
  <c r="L62" i="2" s="1"/>
  <c r="K61" i="2"/>
  <c r="K60" i="2"/>
  <c r="L60" i="2" s="1"/>
  <c r="K59" i="2"/>
  <c r="K58" i="2"/>
  <c r="L58" i="2" s="1"/>
  <c r="M58" i="2" s="1"/>
  <c r="J69" i="2"/>
  <c r="J72" i="2" s="1"/>
  <c r="O74" i="2"/>
  <c r="P74" i="2" s="1"/>
  <c r="Q74" i="2" s="1"/>
  <c r="N75" i="2"/>
  <c r="O75" i="2" s="1"/>
  <c r="O68" i="2"/>
  <c r="P68" i="2" s="1"/>
  <c r="Q68" i="2" s="1"/>
  <c r="O67" i="2"/>
  <c r="O66" i="2"/>
  <c r="P66" i="2" s="1"/>
  <c r="Q66" i="2" s="1"/>
  <c r="O65" i="2"/>
  <c r="P65" i="2" s="1"/>
  <c r="Q65" i="2" s="1"/>
  <c r="O64" i="2"/>
  <c r="P64" i="2" s="1"/>
  <c r="Q64" i="2" s="1"/>
  <c r="O63" i="2"/>
  <c r="P63" i="2" s="1"/>
  <c r="Q63" i="2" s="1"/>
  <c r="O62" i="2"/>
  <c r="P62" i="2" s="1"/>
  <c r="Q62" i="2" s="1"/>
  <c r="O61" i="2"/>
  <c r="P61" i="2" s="1"/>
  <c r="Q61" i="2" s="1"/>
  <c r="O60" i="2"/>
  <c r="P60" i="2" s="1"/>
  <c r="O59" i="2"/>
  <c r="P59" i="2" s="1"/>
  <c r="O58" i="2"/>
  <c r="N69" i="2"/>
  <c r="N72" i="2" s="1"/>
  <c r="N99" i="2" s="1"/>
  <c r="J48" i="2"/>
  <c r="J47" i="2"/>
  <c r="J45" i="2"/>
  <c r="J43" i="2"/>
  <c r="J39" i="2"/>
  <c r="J32" i="2"/>
  <c r="N48" i="2"/>
  <c r="N47" i="2"/>
  <c r="N45" i="2"/>
  <c r="N43" i="2"/>
  <c r="N39" i="2"/>
  <c r="N32" i="2"/>
  <c r="K48" i="2"/>
  <c r="K47" i="2"/>
  <c r="K45" i="2"/>
  <c r="K43" i="2"/>
  <c r="K39" i="2"/>
  <c r="K32" i="2"/>
  <c r="O48" i="2"/>
  <c r="O47" i="2"/>
  <c r="O45" i="2"/>
  <c r="O43" i="2"/>
  <c r="O39" i="2"/>
  <c r="O32" i="2"/>
  <c r="L48" i="2"/>
  <c r="L47" i="2"/>
  <c r="L45" i="2"/>
  <c r="L43" i="2"/>
  <c r="L39" i="2"/>
  <c r="L32" i="2"/>
  <c r="P48" i="2"/>
  <c r="P47" i="2"/>
  <c r="P45" i="2"/>
  <c r="P43" i="2"/>
  <c r="P39" i="2"/>
  <c r="P32" i="2"/>
  <c r="M47" i="2"/>
  <c r="M48" i="2"/>
  <c r="M45" i="2"/>
  <c r="M43" i="2"/>
  <c r="Q47" i="2"/>
  <c r="Q45" i="2"/>
  <c r="Q43" i="2"/>
  <c r="M39" i="2"/>
  <c r="M32" i="2"/>
  <c r="Q32" i="2"/>
  <c r="Q39" i="2"/>
  <c r="V9" i="2"/>
  <c r="V6" i="2"/>
  <c r="W9" i="2"/>
  <c r="W29" i="2"/>
  <c r="W6" i="2"/>
  <c r="X9" i="2"/>
  <c r="X29" i="2"/>
  <c r="X6" i="2"/>
  <c r="Y9" i="2"/>
  <c r="Y29" i="2"/>
  <c r="Y6" i="2"/>
  <c r="Y20" i="2" s="1"/>
  <c r="Z29" i="2"/>
  <c r="Z6" i="2"/>
  <c r="Z20" i="2" s="1"/>
  <c r="AA9" i="2"/>
  <c r="AA8" i="2"/>
  <c r="AA29" i="2"/>
  <c r="AA6" i="2"/>
  <c r="AA20" i="2" s="1"/>
  <c r="AB9" i="2"/>
  <c r="AB8" i="2"/>
  <c r="AB29" i="2"/>
  <c r="AB6" i="2"/>
  <c r="AB20" i="2" s="1"/>
  <c r="AC29" i="2"/>
  <c r="AC10" i="2"/>
  <c r="AC6" i="2"/>
  <c r="AC20" i="2" s="1"/>
  <c r="AE29" i="2"/>
  <c r="AD29" i="2"/>
  <c r="AF29" i="2"/>
  <c r="AD10" i="2"/>
  <c r="AD6" i="2"/>
  <c r="AD20" i="2" s="1"/>
  <c r="AE10" i="2"/>
  <c r="AE6" i="2"/>
  <c r="AF10" i="2"/>
  <c r="AF6" i="2"/>
  <c r="AF20" i="2" s="1"/>
  <c r="W3" i="2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B10" i="2"/>
  <c r="B6" i="2"/>
  <c r="B20" i="2" s="1"/>
  <c r="F29" i="2"/>
  <c r="F10" i="2"/>
  <c r="F6" i="2"/>
  <c r="C10" i="2"/>
  <c r="C6" i="2"/>
  <c r="G29" i="2"/>
  <c r="G10" i="2"/>
  <c r="G6" i="2"/>
  <c r="G20" i="2" s="1"/>
  <c r="D10" i="2"/>
  <c r="D6" i="2"/>
  <c r="D20" i="2" s="1"/>
  <c r="H29" i="2"/>
  <c r="H10" i="2"/>
  <c r="H6" i="2"/>
  <c r="I29" i="2"/>
  <c r="M29" i="2"/>
  <c r="L29" i="2"/>
  <c r="K29" i="2"/>
  <c r="J29" i="2"/>
  <c r="E10" i="2"/>
  <c r="E6" i="2"/>
  <c r="I10" i="2"/>
  <c r="I6" i="2"/>
  <c r="I20" i="2" s="1"/>
  <c r="J10" i="2"/>
  <c r="J6" i="2"/>
  <c r="J20" i="2" s="1"/>
  <c r="N29" i="2"/>
  <c r="N10" i="2"/>
  <c r="N6" i="2"/>
  <c r="Q29" i="2"/>
  <c r="P29" i="2"/>
  <c r="O29" i="2"/>
  <c r="K10" i="2"/>
  <c r="K6" i="2"/>
  <c r="K20" i="2" s="1"/>
  <c r="O10" i="2"/>
  <c r="O6" i="2"/>
  <c r="O20" i="2" s="1"/>
  <c r="L10" i="2"/>
  <c r="L6" i="2"/>
  <c r="L20" i="2" s="1"/>
  <c r="P10" i="2"/>
  <c r="P6" i="2"/>
  <c r="M9" i="2"/>
  <c r="M10" i="2" s="1"/>
  <c r="M6" i="2"/>
  <c r="M20" i="2" s="1"/>
  <c r="Q10" i="2"/>
  <c r="Q6" i="2"/>
  <c r="Q20" i="2" s="1"/>
  <c r="K8" i="1"/>
  <c r="K5" i="1"/>
  <c r="AG16" i="2" l="1"/>
  <c r="P89" i="2"/>
  <c r="Q89" i="2" s="1"/>
  <c r="M87" i="2"/>
  <c r="M79" i="2"/>
  <c r="L88" i="2"/>
  <c r="M88" i="2"/>
  <c r="J98" i="2"/>
  <c r="J99" i="2"/>
  <c r="O91" i="2"/>
  <c r="AI4" i="2"/>
  <c r="AH5" i="2"/>
  <c r="AI5" i="2" s="1"/>
  <c r="AJ5" i="2" s="1"/>
  <c r="AK5" i="2" s="1"/>
  <c r="AL5" i="2" s="1"/>
  <c r="AM5" i="2" s="1"/>
  <c r="AN5" i="2" s="1"/>
  <c r="AO5" i="2" s="1"/>
  <c r="AP5" i="2" s="1"/>
  <c r="K80" i="2"/>
  <c r="L83" i="2"/>
  <c r="M77" i="2"/>
  <c r="M89" i="2"/>
  <c r="O80" i="2"/>
  <c r="Q88" i="2"/>
  <c r="M78" i="2"/>
  <c r="N80" i="2"/>
  <c r="N94" i="2" s="1"/>
  <c r="M75" i="2"/>
  <c r="M93" i="2"/>
  <c r="K91" i="2"/>
  <c r="P79" i="2"/>
  <c r="Q79" i="2" s="1"/>
  <c r="Q80" i="2" s="1"/>
  <c r="P93" i="2"/>
  <c r="M74" i="2"/>
  <c r="L70" i="2"/>
  <c r="M70" i="2" s="1"/>
  <c r="Q70" i="2"/>
  <c r="N97" i="2"/>
  <c r="P83" i="2"/>
  <c r="L76" i="2"/>
  <c r="M76" i="2" s="1"/>
  <c r="Q78" i="2"/>
  <c r="M84" i="2"/>
  <c r="N98" i="2"/>
  <c r="M85" i="2"/>
  <c r="M86" i="2"/>
  <c r="J97" i="2"/>
  <c r="J80" i="2"/>
  <c r="J94" i="2" s="1"/>
  <c r="L59" i="2"/>
  <c r="M59" i="2" s="1"/>
  <c r="M60" i="2"/>
  <c r="L66" i="2"/>
  <c r="M66" i="2" s="1"/>
  <c r="O42" i="2"/>
  <c r="L63" i="2"/>
  <c r="M63" i="2" s="1"/>
  <c r="L64" i="2"/>
  <c r="M64" i="2" s="1"/>
  <c r="L65" i="2"/>
  <c r="M65" i="2" s="1"/>
  <c r="M62" i="2"/>
  <c r="L67" i="2"/>
  <c r="L68" i="2"/>
  <c r="M68" i="2" s="1"/>
  <c r="W11" i="2"/>
  <c r="W23" i="2" s="1"/>
  <c r="K69" i="2"/>
  <c r="K72" i="2" s="1"/>
  <c r="Q53" i="2"/>
  <c r="L31" i="2"/>
  <c r="AA10" i="2"/>
  <c r="AA11" i="2" s="1"/>
  <c r="AA23" i="2" s="1"/>
  <c r="P67" i="2"/>
  <c r="Q67" i="2" s="1"/>
  <c r="Q69" i="2" s="1"/>
  <c r="M42" i="2"/>
  <c r="K31" i="2"/>
  <c r="Q60" i="2"/>
  <c r="L53" i="2"/>
  <c r="Q31" i="2"/>
  <c r="AF31" i="2" s="1"/>
  <c r="P42" i="2"/>
  <c r="N53" i="2"/>
  <c r="P75" i="2"/>
  <c r="Q75" i="2" s="1"/>
  <c r="C11" i="2"/>
  <c r="C14" i="2" s="1"/>
  <c r="M31" i="2"/>
  <c r="J31" i="2"/>
  <c r="M53" i="2"/>
  <c r="P31" i="2"/>
  <c r="P58" i="2"/>
  <c r="Q58" i="2" s="1"/>
  <c r="N31" i="2"/>
  <c r="O31" i="2"/>
  <c r="Q59" i="2"/>
  <c r="O69" i="2"/>
  <c r="O72" i="2" s="1"/>
  <c r="Q42" i="2"/>
  <c r="AB10" i="2"/>
  <c r="AB11" i="2" s="1"/>
  <c r="AB23" i="2" s="1"/>
  <c r="O53" i="2"/>
  <c r="Z11" i="2"/>
  <c r="Z23" i="2" s="1"/>
  <c r="J53" i="2"/>
  <c r="J42" i="2"/>
  <c r="N42" i="2"/>
  <c r="K53" i="2"/>
  <c r="K42" i="2"/>
  <c r="L42" i="2"/>
  <c r="P53" i="2"/>
  <c r="V11" i="2"/>
  <c r="V14" i="2" s="1"/>
  <c r="V16" i="2" s="1"/>
  <c r="V17" i="2" s="1"/>
  <c r="V20" i="2"/>
  <c r="W20" i="2"/>
  <c r="X11" i="2"/>
  <c r="X23" i="2" s="1"/>
  <c r="X20" i="2"/>
  <c r="Y11" i="2"/>
  <c r="AC11" i="2"/>
  <c r="AD11" i="2"/>
  <c r="AE11" i="2"/>
  <c r="AE14" i="2" s="1"/>
  <c r="AE20" i="2"/>
  <c r="AF11" i="2"/>
  <c r="B11" i="2"/>
  <c r="F11" i="2"/>
  <c r="F23" i="2" s="1"/>
  <c r="F20" i="2"/>
  <c r="C20" i="2"/>
  <c r="G11" i="2"/>
  <c r="D11" i="2"/>
  <c r="H11" i="2"/>
  <c r="H23" i="2" s="1"/>
  <c r="H20" i="2"/>
  <c r="E11" i="2"/>
  <c r="E14" i="2" s="1"/>
  <c r="E20" i="2"/>
  <c r="I11" i="2"/>
  <c r="I14" i="2" s="1"/>
  <c r="I25" i="2" s="1"/>
  <c r="P11" i="2"/>
  <c r="P23" i="2" s="1"/>
  <c r="J11" i="2"/>
  <c r="N11" i="2"/>
  <c r="N14" i="2" s="1"/>
  <c r="N20" i="2"/>
  <c r="K11" i="2"/>
  <c r="O11" i="2"/>
  <c r="L11" i="2"/>
  <c r="L23" i="2" s="1"/>
  <c r="P20" i="2"/>
  <c r="M11" i="2"/>
  <c r="Q11" i="2"/>
  <c r="AG17" i="2" l="1"/>
  <c r="AG31" i="2"/>
  <c r="AH12" i="2" s="1"/>
  <c r="M80" i="2"/>
  <c r="L91" i="2"/>
  <c r="P80" i="2"/>
  <c r="O94" i="2"/>
  <c r="O97" i="2"/>
  <c r="O99" i="2"/>
  <c r="O98" i="2"/>
  <c r="K94" i="2"/>
  <c r="K95" i="2" s="1"/>
  <c r="K98" i="2"/>
  <c r="K99" i="2"/>
  <c r="K97" i="2"/>
  <c r="L80" i="2"/>
  <c r="Q72" i="2"/>
  <c r="AH6" i="2"/>
  <c r="P91" i="2"/>
  <c r="Q83" i="2"/>
  <c r="Q91" i="2" s="1"/>
  <c r="AJ4" i="2"/>
  <c r="AI6" i="2"/>
  <c r="Q93" i="2"/>
  <c r="M83" i="2"/>
  <c r="M91" i="2" s="1"/>
  <c r="W14" i="2"/>
  <c r="W16" i="2" s="1"/>
  <c r="O54" i="2"/>
  <c r="O55" i="2" s="1"/>
  <c r="L69" i="2"/>
  <c r="M67" i="2"/>
  <c r="M69" i="2" s="1"/>
  <c r="Q54" i="2"/>
  <c r="Q55" i="2" s="1"/>
  <c r="P69" i="2"/>
  <c r="P72" i="2" s="1"/>
  <c r="M54" i="2"/>
  <c r="M55" i="2" s="1"/>
  <c r="N54" i="2"/>
  <c r="N55" i="2" s="1"/>
  <c r="I23" i="2"/>
  <c r="P54" i="2"/>
  <c r="P55" i="2" s="1"/>
  <c r="L54" i="2"/>
  <c r="L55" i="2" s="1"/>
  <c r="C23" i="2"/>
  <c r="J54" i="2"/>
  <c r="J55" i="2" s="1"/>
  <c r="K54" i="2"/>
  <c r="K55" i="2" s="1"/>
  <c r="V24" i="2"/>
  <c r="V23" i="2"/>
  <c r="V25" i="2"/>
  <c r="X14" i="2"/>
  <c r="X25" i="2" s="1"/>
  <c r="Y23" i="2"/>
  <c r="Y14" i="2"/>
  <c r="Z14" i="2"/>
  <c r="Z25" i="2" s="1"/>
  <c r="AA14" i="2"/>
  <c r="AA16" i="2" s="1"/>
  <c r="AB14" i="2"/>
  <c r="AB25" i="2" s="1"/>
  <c r="AC14" i="2"/>
  <c r="AC23" i="2"/>
  <c r="AD23" i="2"/>
  <c r="AD14" i="2"/>
  <c r="AE23" i="2"/>
  <c r="AE25" i="2"/>
  <c r="AE16" i="2"/>
  <c r="AF23" i="2"/>
  <c r="AF14" i="2"/>
  <c r="B23" i="2"/>
  <c r="B14" i="2"/>
  <c r="F14" i="2"/>
  <c r="F16" i="2" s="1"/>
  <c r="C16" i="2"/>
  <c r="C25" i="2"/>
  <c r="G23" i="2"/>
  <c r="G14" i="2"/>
  <c r="D23" i="2"/>
  <c r="D14" i="2"/>
  <c r="H14" i="2"/>
  <c r="H25" i="2" s="1"/>
  <c r="E23" i="2"/>
  <c r="E25" i="2"/>
  <c r="E16" i="2"/>
  <c r="I16" i="2"/>
  <c r="I24" i="2" s="1"/>
  <c r="P14" i="2"/>
  <c r="P16" i="2" s="1"/>
  <c r="P57" i="2" s="1"/>
  <c r="M14" i="2"/>
  <c r="M23" i="2"/>
  <c r="Q23" i="2"/>
  <c r="Q14" i="2"/>
  <c r="J23" i="2"/>
  <c r="J14" i="2"/>
  <c r="N23" i="2"/>
  <c r="N25" i="2"/>
  <c r="N16" i="2"/>
  <c r="N57" i="2" s="1"/>
  <c r="K23" i="2"/>
  <c r="K14" i="2"/>
  <c r="O23" i="2"/>
  <c r="O14" i="2"/>
  <c r="L14" i="2"/>
  <c r="L25" i="2" s="1"/>
  <c r="AH14" i="2" l="1"/>
  <c r="P99" i="2"/>
  <c r="P98" i="2"/>
  <c r="P97" i="2"/>
  <c r="P94" i="2"/>
  <c r="AK4" i="2"/>
  <c r="AJ6" i="2"/>
  <c r="Q98" i="2"/>
  <c r="Q97" i="2"/>
  <c r="Q94" i="2"/>
  <c r="Q99" i="2"/>
  <c r="W25" i="2"/>
  <c r="W24" i="2"/>
  <c r="W17" i="2"/>
  <c r="X16" i="2"/>
  <c r="X17" i="2" s="1"/>
  <c r="Y16" i="2"/>
  <c r="Y25" i="2"/>
  <c r="Z16" i="2"/>
  <c r="Z24" i="2" s="1"/>
  <c r="AA25" i="2"/>
  <c r="AA24" i="2"/>
  <c r="AA17" i="2"/>
  <c r="AB16" i="2"/>
  <c r="AB24" i="2" s="1"/>
  <c r="AC16" i="2"/>
  <c r="AC25" i="2"/>
  <c r="AD25" i="2"/>
  <c r="AD16" i="2"/>
  <c r="AE17" i="2"/>
  <c r="AE24" i="2"/>
  <c r="AF25" i="2"/>
  <c r="AF16" i="2"/>
  <c r="B25" i="2"/>
  <c r="B16" i="2"/>
  <c r="F25" i="2"/>
  <c r="F24" i="2"/>
  <c r="F17" i="2"/>
  <c r="C24" i="2"/>
  <c r="C17" i="2"/>
  <c r="G25" i="2"/>
  <c r="G16" i="2"/>
  <c r="D25" i="2"/>
  <c r="D16" i="2"/>
  <c r="H16" i="2"/>
  <c r="H24" i="2" s="1"/>
  <c r="E24" i="2"/>
  <c r="E17" i="2"/>
  <c r="I17" i="2"/>
  <c r="P25" i="2"/>
  <c r="Q25" i="2"/>
  <c r="Q16" i="2"/>
  <c r="Q57" i="2" s="1"/>
  <c r="M16" i="2"/>
  <c r="M57" i="2" s="1"/>
  <c r="M25" i="2"/>
  <c r="J16" i="2"/>
  <c r="J57" i="2" s="1"/>
  <c r="J25" i="2"/>
  <c r="N24" i="2"/>
  <c r="N17" i="2"/>
  <c r="K25" i="2"/>
  <c r="K16" i="2"/>
  <c r="K57" i="2" s="1"/>
  <c r="O25" i="2"/>
  <c r="O16" i="2"/>
  <c r="O57" i="2" s="1"/>
  <c r="L16" i="2"/>
  <c r="L57" i="2" s="1"/>
  <c r="P24" i="2"/>
  <c r="P17" i="2"/>
  <c r="AH15" i="2" l="1"/>
  <c r="AH16" i="2" s="1"/>
  <c r="AL4" i="2"/>
  <c r="AK6" i="2"/>
  <c r="X24" i="2"/>
  <c r="Y17" i="2"/>
  <c r="Y24" i="2"/>
  <c r="Z17" i="2"/>
  <c r="AB17" i="2"/>
  <c r="AC17" i="2"/>
  <c r="AC24" i="2"/>
  <c r="AD24" i="2"/>
  <c r="AD17" i="2"/>
  <c r="AF24" i="2"/>
  <c r="AF17" i="2"/>
  <c r="B24" i="2"/>
  <c r="B17" i="2"/>
  <c r="G24" i="2"/>
  <c r="G17" i="2"/>
  <c r="D24" i="2"/>
  <c r="D17" i="2"/>
  <c r="H17" i="2"/>
  <c r="M17" i="2"/>
  <c r="M24" i="2"/>
  <c r="Q24" i="2"/>
  <c r="Q17" i="2"/>
  <c r="J24" i="2"/>
  <c r="J17" i="2"/>
  <c r="K24" i="2"/>
  <c r="K17" i="2"/>
  <c r="O24" i="2"/>
  <c r="O17" i="2"/>
  <c r="L17" i="2"/>
  <c r="L24" i="2"/>
  <c r="AH17" i="2" l="1"/>
  <c r="AH31" i="2"/>
  <c r="AM4" i="2"/>
  <c r="AL6" i="2"/>
  <c r="AI12" i="2" l="1"/>
  <c r="AI14" i="2" s="1"/>
  <c r="AI15" i="2" s="1"/>
  <c r="AI16" i="2" s="1"/>
  <c r="AN4" i="2"/>
  <c r="AM6" i="2"/>
  <c r="AI17" i="2" l="1"/>
  <c r="AI31" i="2"/>
  <c r="AJ12" i="2" s="1"/>
  <c r="AJ14" i="2" s="1"/>
  <c r="AJ15" i="2" s="1"/>
  <c r="AJ16" i="2" s="1"/>
  <c r="AO4" i="2"/>
  <c r="AN6" i="2"/>
  <c r="AJ17" i="2" l="1"/>
  <c r="AJ31" i="2"/>
  <c r="AK12" i="2" s="1"/>
  <c r="AP4" i="2"/>
  <c r="AP6" i="2" s="1"/>
  <c r="AO6" i="2"/>
  <c r="AK14" i="2" l="1"/>
  <c r="AK15" i="2" l="1"/>
  <c r="AK16" i="2"/>
  <c r="AK17" i="2" l="1"/>
  <c r="AK31" i="2"/>
  <c r="AL12" i="2" s="1"/>
  <c r="AL14" i="2" l="1"/>
  <c r="AL15" i="2" l="1"/>
  <c r="AL16" i="2"/>
  <c r="AL17" i="2" l="1"/>
  <c r="AL31" i="2"/>
  <c r="AM12" i="2" s="1"/>
  <c r="AM14" i="2" l="1"/>
  <c r="AM15" i="2" l="1"/>
  <c r="AM16" i="2" s="1"/>
  <c r="AM17" i="2" l="1"/>
  <c r="AM31" i="2"/>
  <c r="AN12" i="2" s="1"/>
  <c r="AN14" i="2" l="1"/>
  <c r="AN15" i="2" l="1"/>
  <c r="AN16" i="2" s="1"/>
  <c r="AN17" i="2" l="1"/>
  <c r="AN31" i="2"/>
  <c r="AO12" i="2" s="1"/>
  <c r="AO14" i="2" l="1"/>
  <c r="AO15" i="2" l="1"/>
  <c r="AO16" i="2" s="1"/>
  <c r="AO17" i="2" l="1"/>
  <c r="AO31" i="2"/>
  <c r="AP12" i="2" s="1"/>
  <c r="AP14" i="2" l="1"/>
  <c r="AP15" i="2" l="1"/>
  <c r="AP16" i="2" s="1"/>
  <c r="AP17" i="2" l="1"/>
  <c r="AP31" i="2"/>
  <c r="L61" i="2"/>
  <c r="M61" i="2"/>
  <c r="L72" i="2"/>
  <c r="M72" i="2"/>
  <c r="L94" i="2"/>
  <c r="M94" i="2"/>
  <c r="L95" i="2"/>
  <c r="M95" i="2"/>
  <c r="N95" i="2"/>
  <c r="O95" i="2"/>
  <c r="P95" i="2"/>
  <c r="Q95" i="2"/>
  <c r="L97" i="2"/>
  <c r="M97" i="2"/>
  <c r="L98" i="2"/>
  <c r="M98" i="2"/>
  <c r="L99" i="2"/>
  <c r="M99" i="2"/>
</calcChain>
</file>

<file path=xl/sharedStrings.xml><?xml version="1.0" encoding="utf-8"?>
<sst xmlns="http://schemas.openxmlformats.org/spreadsheetml/2006/main" count="126" uniqueCount="105">
  <si>
    <t>Adidas</t>
  </si>
  <si>
    <t>(ADS)</t>
  </si>
  <si>
    <t>(in millions €)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</si>
  <si>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</si>
  <si>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</si>
  <si>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</si>
  <si>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</si>
  <si>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</si>
  <si>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</si>
  <si>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</si>
  <si>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</si>
  <si>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</si>
  <si>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Other income</t>
  </si>
  <si>
    <t>Marketing</t>
  </si>
  <si>
    <t>SG&amp;A</t>
  </si>
  <si>
    <t>Operating expense</t>
  </si>
  <si>
    <t>Q423</t>
  </si>
  <si>
    <t>Q422</t>
  </si>
  <si>
    <t>Operating income</t>
  </si>
  <si>
    <t>Interest income</t>
  </si>
  <si>
    <t>Interest expense</t>
  </si>
  <si>
    <t>Interest expenses</t>
  </si>
  <si>
    <t>Pretax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</si>
  <si>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</si>
  <si>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</si>
  <si>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</si>
  <si>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</si>
  <si>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</si>
  <si>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</si>
  <si>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</si>
  <si>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Q323</t>
  </si>
  <si>
    <t>Q322</t>
  </si>
  <si>
    <t>Q223</t>
  </si>
  <si>
    <t>Q222</t>
  </si>
  <si>
    <t>Q123</t>
  </si>
  <si>
    <t>Q122</t>
  </si>
  <si>
    <t>Q421</t>
  </si>
  <si>
    <t>Q420</t>
  </si>
  <si>
    <t>Q321</t>
  </si>
  <si>
    <t>Q320</t>
  </si>
  <si>
    <t>Q221</t>
  </si>
  <si>
    <t>Q220</t>
  </si>
  <si>
    <t>Q121</t>
  </si>
  <si>
    <t>Q120</t>
  </si>
  <si>
    <t>Net cash</t>
  </si>
  <si>
    <t>A/R</t>
  </si>
  <si>
    <t>Inventories</t>
  </si>
  <si>
    <t>OCA</t>
  </si>
  <si>
    <t>PP&amp;E</t>
  </si>
  <si>
    <t>Lease</t>
  </si>
  <si>
    <t>Goodwill</t>
  </si>
  <si>
    <t>ONCA</t>
  </si>
  <si>
    <t>D/T</t>
  </si>
  <si>
    <t>Assets</t>
  </si>
  <si>
    <t>L+S/E</t>
  </si>
  <si>
    <t>S/E</t>
  </si>
  <si>
    <t>Liabilities</t>
  </si>
  <si>
    <t>ONCL</t>
  </si>
  <si>
    <t>Pensions</t>
  </si>
  <si>
    <t>OCL</t>
  </si>
  <si>
    <t>Accrued</t>
  </si>
  <si>
    <t>Provisions</t>
  </si>
  <si>
    <t>A/P</t>
  </si>
  <si>
    <t>Model NI</t>
  </si>
  <si>
    <t>Reported NI</t>
  </si>
  <si>
    <t>D&amp;A</t>
  </si>
  <si>
    <t>Impairment losses</t>
  </si>
  <si>
    <t>FX</t>
  </si>
  <si>
    <t>Losses on PP&amp;E</t>
  </si>
  <si>
    <t>ONC</t>
  </si>
  <si>
    <t>Receivables</t>
  </si>
  <si>
    <t>Working capital</t>
  </si>
  <si>
    <t>CFFO</t>
  </si>
  <si>
    <t>CapEx</t>
  </si>
  <si>
    <t>Trademarks</t>
  </si>
  <si>
    <t>Acquisistions</t>
  </si>
  <si>
    <t>Buybacks</t>
  </si>
  <si>
    <t>Dividends</t>
  </si>
  <si>
    <t>Eurobond</t>
  </si>
  <si>
    <t>Borrowings</t>
  </si>
  <si>
    <t>Discontinued</t>
  </si>
  <si>
    <t>Investments</t>
  </si>
  <si>
    <t>Sale disposal</t>
  </si>
  <si>
    <t>CFFI</t>
  </si>
  <si>
    <t>Interest paid</t>
  </si>
  <si>
    <t>Interest received</t>
  </si>
  <si>
    <t>SBP</t>
  </si>
  <si>
    <t>CFFF</t>
  </si>
  <si>
    <t>CIC</t>
  </si>
  <si>
    <t>Cash end of period</t>
  </si>
  <si>
    <t>CFFO+CapEx</t>
  </si>
  <si>
    <t>CFFO+CapEx+BB+DIV</t>
  </si>
  <si>
    <t>CFFO+CapEx+BB</t>
  </si>
  <si>
    <t>Marketing y/y</t>
  </si>
  <si>
    <t>SG&amp;A y/y</t>
  </si>
  <si>
    <t>SG&amp;A margin</t>
  </si>
  <si>
    <t>Marketing margin</t>
  </si>
  <si>
    <t>ROIC</t>
  </si>
  <si>
    <t>Terminal rate</t>
  </si>
  <si>
    <t>Discount value</t>
  </si>
  <si>
    <t>NPV</t>
  </si>
  <si>
    <t>Total Value</t>
  </si>
  <si>
    <t xml:space="preserve">Per share </t>
  </si>
  <si>
    <t>Current price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</si>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</sst>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\x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4" fontId="0" fillId="0" borderId="0" xfId="0" applyNumberFormat="1"/>
    <xf numFmtId="9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indent="3"/>
    </xf>
    <xf numFmtId="9" fontId="1" fillId="0" borderId="0" xfId="0" applyNumberFormat="1" applyFont="1"/>
    <xf numFmtId="0" fontId="0" fillId="0" borderId="0" xfId="0" applyFont="1"/>
    <xf numFmtId="3" fontId="0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9525</xdr:colOff>
      <xdr:row>0</xdr:row>
      <xdr:rowOff>57150</xdr:rowOff>
    </xdr:from>
    <xdr:to>
      <xdr:col>32</xdr:col>
      <xdr:colOff>9525</xdr:colOff>
      <xdr:row>101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841A70E-CB9B-FB03-07A1-98117CA5FCDB}"/>
            </a:ext>
          </a:extLst>
        </xdr:cNvPr>
        <xdr:cNvCxnSpPr/>
      </xdr:nvCxnSpPr>
      <xdr:spPr>
        <a:xfrm>
          <a:off x="22164675" y="57150"/>
          <a:ext cx="0" cy="16021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0</xdr:row>
      <xdr:rowOff>38100</xdr:rowOff>
    </xdr:from>
    <xdr:to>
      <xdr:col>17</xdr:col>
      <xdr:colOff>28575</xdr:colOff>
      <xdr:row>101</xdr:row>
      <xdr:rowOff>66675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EE2B905-710F-4F8A-87A4-4BB5C9415691}"/>
            </a:ext>
          </a:extLst>
        </xdr:cNvPr>
        <xdr:cNvCxnSpPr/>
      </xdr:nvCxnSpPr>
      <xdr:spPr>
        <a:xfrm>
          <a:off x="12306300" y="38100"/>
          <a:ext cx="0" cy="16021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EE1F-AB81-45B4-AA61-555C142F66F8}">
  <dimension ref="A1:K10"/>
  <sheetViews>
    <sheetView workbookViewId="0">
      <selection activeCell="I19" sqref="I19"/>
    </sheetView>
  </sheetViews>
  <sheetFormatPr defaultRowHeight="12.75" x14ac:dyDescent="0.2"/>
  <cols>
    <col min="1" max="1" width="18.42578125" bestFit="1" customWidth="1"/>
  </cols>
  <sheetData>
    <row r="1" spans="1:11" ht="34.5" x14ac:dyDescent="0.45">
      <c r="A1" s="1" t="s">
        <v>0</v>
      </c>
    </row>
    <row r="2" spans="1:11" x14ac:dyDescent="0.2">
      <c r="A2" t="s">
        <v>1</v>
      </c>
    </row>
    <row r="3" spans="1:11" x14ac:dyDescent="0.2">
      <c r="A3" t="s">
        <v>2</v>
      </c>
      <c r="J3" t="s">
        <v>3</v>
      </c>
      <c r="K3" s="2">
        <v>225</v>
      </c>
    </row>
    <row r="4" spans="1:11" x14ac:dyDescent="0.2">
      <c r="J4" t="s">
        <v>4</v>
      </c>
      <c r="K4" s="2">
        <v>178.54908399999999</v>
      </c>
    </row>
    <row r="5" spans="1:11" x14ac:dyDescent="0.2">
      <c r="J5" t="s">
        <v>5</v>
      </c>
      <c r="K5" s="2">
        <f>+K3*K4</f>
        <v>40173.543899999997</v>
      </c>
    </row>
    <row r="6" spans="1:11" x14ac:dyDescent="0.2">
      <c r="J6" t="s">
        <v>6</v>
      </c>
      <c r="K6" s="2">
        <v>2939</v>
      </c>
    </row>
    <row r="7" spans="1:11" x14ac:dyDescent="0.2">
      <c r="J7" t="s">
        <v>7</v>
      </c>
      <c r="K7" s="2">
        <v>3251</v>
      </c>
    </row>
    <row r="8" spans="1:11" x14ac:dyDescent="0.2">
      <c r="J8" t="s">
        <v>8</v>
      </c>
      <c r="K8" s="2">
        <f>+K5-K6+K7</f>
        <v>40485.543899999997</v>
      </c>
    </row>
    <row r="9" spans="1:11" x14ac:dyDescent="0.2">
      <c r="K9" s="2">
        <v>2089</v>
      </c>
    </row>
    <row r="10" spans="1:11" x14ac:dyDescent="0.2">
      <c r="H10" t="s">
        <v>91</v>
      </c>
      <c r="K10" s="12">
        <f>+K8/K9</f>
        <v>19.380346529439922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757E-5B69-48C9-9693-491029490C48}">
  <dimension ref="A1:EM99"/>
  <sheetViews>
    <sheetView tabSelected="1" workbookViewId="0">
      <pane xSplit="1" ySplit="3" topLeftCell="AK4" activePane="bottomRight" state="frozen"/>
      <selection pane="topRight" activeCell="B1" sqref="B1"/>
      <selection pane="bottomLeft" activeCell="A4" sqref="A4"/>
      <selection pane="bottomRight" activeCell="AS6" sqref="AS6"/>
    </sheetView>
  </sheetViews>
  <sheetFormatPr defaultRowHeight="12.75" x14ac:dyDescent="0.2"/>
  <cols>
    <col min="1" max="1" width="20.85546875" bestFit="1" customWidth="1"/>
    <col min="2" max="2" width="10.5703125" bestFit="1" customWidth="1"/>
    <col min="3" max="3" width="10.140625" customWidth="1"/>
    <col min="4" max="4" width="10.140625" bestFit="1" customWidth="1"/>
    <col min="5" max="5" width="10.28515625" customWidth="1"/>
    <col min="6" max="6" width="10.5703125" bestFit="1" customWidth="1"/>
    <col min="7" max="17" width="10.140625" style="2" bestFit="1" customWidth="1"/>
    <col min="18" max="21" width="9.140625" style="2"/>
    <col min="22" max="42" width="10.140625" style="2" bestFit="1" customWidth="1"/>
    <col min="43" max="43" width="9.140625" style="2"/>
    <col min="44" max="44" width="13.140625" style="2" bestFit="1" customWidth="1"/>
    <col min="45" max="45" width="10.140625" style="2" bestFit="1" customWidth="1"/>
    <col min="46" max="16384" width="9.140625" style="2"/>
  </cols>
  <sheetData>
    <row r="1" spans="1:143" customFormat="1" ht="34.5" x14ac:dyDescent="0.45">
      <c r="A1" s="1" t="s">
        <v>0</v>
      </c>
      <c r="B1" s="1"/>
      <c r="C1" s="1"/>
      <c r="D1" s="1"/>
      <c r="E1" s="1"/>
      <c r="F1" s="1"/>
    </row>
    <row r="2" spans="1:143" customFormat="1" x14ac:dyDescent="0.2">
      <c r="A2" t="s">
        <v>1</v>
      </c>
      <c r="B2" s="7">
        <v>43921</v>
      </c>
      <c r="C2" s="7">
        <v>44042</v>
      </c>
      <c r="D2" s="7">
        <v>44104</v>
      </c>
      <c r="E2" s="7">
        <v>44196</v>
      </c>
      <c r="F2" s="7">
        <v>44286</v>
      </c>
      <c r="G2" s="7">
        <v>44407</v>
      </c>
      <c r="H2" s="7">
        <v>44469</v>
      </c>
      <c r="I2" s="7">
        <v>44561</v>
      </c>
      <c r="J2" s="7">
        <v>44651</v>
      </c>
      <c r="K2" s="7">
        <v>44772</v>
      </c>
      <c r="L2" s="7">
        <v>44834</v>
      </c>
      <c r="M2" s="7">
        <v>44926</v>
      </c>
      <c r="N2" s="7">
        <v>45016</v>
      </c>
      <c r="O2" s="7">
        <v>45137</v>
      </c>
      <c r="P2" s="7">
        <v>45199</v>
      </c>
      <c r="Q2" s="7">
        <v>45291</v>
      </c>
      <c r="AE2" s="7"/>
      <c r="AF2" s="7">
        <v>45291</v>
      </c>
    </row>
    <row r="3" spans="1:143" s="8" customFormat="1" x14ac:dyDescent="0.2">
      <c r="A3" t="s">
        <v>2</v>
      </c>
      <c r="B3" s="8" t="s">
        <v>43</v>
      </c>
      <c r="C3" s="8" t="s">
        <v>41</v>
      </c>
      <c r="D3" s="8" t="s">
        <v>39</v>
      </c>
      <c r="E3" s="8" t="s">
        <v>37</v>
      </c>
      <c r="F3" s="8" t="s">
        <v>42</v>
      </c>
      <c r="G3" s="8" t="s">
        <v>40</v>
      </c>
      <c r="H3" s="8" t="s">
        <v>38</v>
      </c>
      <c r="I3" s="8" t="s">
        <v>36</v>
      </c>
      <c r="J3" s="8" t="s">
        <v>35</v>
      </c>
      <c r="K3" s="8" t="s">
        <v>33</v>
      </c>
      <c r="L3" s="8" t="s">
        <v>31</v>
      </c>
      <c r="M3" s="8" t="s">
        <v>17</v>
      </c>
      <c r="N3" s="8" t="s">
        <v>34</v>
      </c>
      <c r="O3" s="8" t="s">
        <v>32</v>
      </c>
      <c r="P3" s="8" t="s">
        <v>30</v>
      </c>
      <c r="Q3" s="8" t="s">
        <v>16</v>
      </c>
      <c r="V3" s="8">
        <v>2013</v>
      </c>
      <c r="W3" s="8">
        <f>+V3+1</f>
        <v>2014</v>
      </c>
      <c r="X3" s="8">
        <f t="shared" ref="X3:AP3" si="0">+W3+1</f>
        <v>2015</v>
      </c>
      <c r="Y3" s="8">
        <f t="shared" si="0"/>
        <v>2016</v>
      </c>
      <c r="Z3" s="8">
        <f t="shared" si="0"/>
        <v>2017</v>
      </c>
      <c r="AA3" s="8">
        <f t="shared" si="0"/>
        <v>2018</v>
      </c>
      <c r="AB3" s="8">
        <f t="shared" si="0"/>
        <v>2019</v>
      </c>
      <c r="AC3" s="8">
        <f t="shared" si="0"/>
        <v>2020</v>
      </c>
      <c r="AD3" s="8">
        <f t="shared" si="0"/>
        <v>2021</v>
      </c>
      <c r="AE3" s="8">
        <f t="shared" si="0"/>
        <v>2022</v>
      </c>
      <c r="AF3" s="8">
        <f t="shared" si="0"/>
        <v>2023</v>
      </c>
      <c r="AG3" s="8">
        <f t="shared" si="0"/>
        <v>2024</v>
      </c>
      <c r="AH3" s="8">
        <f t="shared" si="0"/>
        <v>2025</v>
      </c>
      <c r="AI3" s="8">
        <f t="shared" si="0"/>
        <v>2026</v>
      </c>
      <c r="AJ3" s="8">
        <f t="shared" si="0"/>
        <v>2027</v>
      </c>
      <c r="AK3" s="8">
        <f t="shared" si="0"/>
        <v>2028</v>
      </c>
      <c r="AL3" s="8">
        <f t="shared" si="0"/>
        <v>2029</v>
      </c>
      <c r="AM3" s="8">
        <f t="shared" si="0"/>
        <v>2030</v>
      </c>
      <c r="AN3" s="8">
        <f t="shared" si="0"/>
        <v>2031</v>
      </c>
      <c r="AO3" s="8">
        <f t="shared" si="0"/>
        <v>2032</v>
      </c>
      <c r="AP3" s="8">
        <f t="shared" si="0"/>
        <v>2033</v>
      </c>
    </row>
    <row r="4" spans="1:143" s="11" customFormat="1" x14ac:dyDescent="0.2">
      <c r="A4" s="10" t="s">
        <v>9</v>
      </c>
      <c r="B4" s="11">
        <v>4381</v>
      </c>
      <c r="C4" s="11">
        <v>3352</v>
      </c>
      <c r="D4" s="11">
        <v>5561</v>
      </c>
      <c r="E4" s="11">
        <v>5142</v>
      </c>
      <c r="F4" s="11">
        <v>5268</v>
      </c>
      <c r="G4" s="11">
        <v>5077</v>
      </c>
      <c r="H4" s="11">
        <v>5752</v>
      </c>
      <c r="I4" s="11">
        <v>5137</v>
      </c>
      <c r="J4" s="11">
        <v>5302</v>
      </c>
      <c r="K4" s="11">
        <v>5596</v>
      </c>
      <c r="L4" s="11">
        <v>6408</v>
      </c>
      <c r="M4" s="11">
        <v>5205</v>
      </c>
      <c r="N4" s="11">
        <v>5274</v>
      </c>
      <c r="O4" s="11">
        <v>5343</v>
      </c>
      <c r="P4" s="11">
        <v>5999</v>
      </c>
      <c r="Q4" s="11">
        <v>4812</v>
      </c>
      <c r="V4" s="11">
        <v>14492</v>
      </c>
      <c r="W4" s="11">
        <v>14534</v>
      </c>
      <c r="X4" s="11">
        <v>16915</v>
      </c>
      <c r="Y4" s="11">
        <v>18483</v>
      </c>
      <c r="Z4" s="11">
        <v>21218</v>
      </c>
      <c r="AA4" s="11">
        <v>21915</v>
      </c>
      <c r="AB4" s="11">
        <v>23640</v>
      </c>
      <c r="AC4" s="11">
        <v>18435</v>
      </c>
      <c r="AD4" s="11">
        <v>21234</v>
      </c>
      <c r="AE4" s="11">
        <v>22511</v>
      </c>
      <c r="AF4" s="11">
        <v>21427</v>
      </c>
      <c r="AG4" s="11">
        <f>+AF4*1.01</f>
        <v>21641.27</v>
      </c>
      <c r="AH4" s="11">
        <f t="shared" ref="AH4:AP4" si="1">+AG4*1.01</f>
        <v>21857.682700000001</v>
      </c>
      <c r="AI4" s="11">
        <f t="shared" si="1"/>
        <v>22076.259527000002</v>
      </c>
      <c r="AJ4" s="11">
        <f t="shared" si="1"/>
        <v>22297.022122270002</v>
      </c>
      <c r="AK4" s="11">
        <f t="shared" si="1"/>
        <v>22519.9923434927</v>
      </c>
      <c r="AL4" s="11">
        <f t="shared" si="1"/>
        <v>22745.192266927628</v>
      </c>
      <c r="AM4" s="11">
        <f t="shared" si="1"/>
        <v>22972.644189596904</v>
      </c>
      <c r="AN4" s="11">
        <f t="shared" si="1"/>
        <v>23202.370631492871</v>
      </c>
      <c r="AO4" s="11">
        <f t="shared" si="1"/>
        <v>23434.3943378078</v>
      </c>
      <c r="AP4" s="11">
        <f t="shared" si="1"/>
        <v>23668.738281185877</v>
      </c>
    </row>
    <row r="5" spans="1:143" x14ac:dyDescent="0.2">
      <c r="A5" t="s">
        <v>10</v>
      </c>
      <c r="B5" s="2">
        <v>2203</v>
      </c>
      <c r="C5" s="2">
        <v>1631</v>
      </c>
      <c r="D5" s="2">
        <v>2763</v>
      </c>
      <c r="E5" s="2">
        <v>2615</v>
      </c>
      <c r="F5" s="2">
        <v>2538</v>
      </c>
      <c r="G5" s="2">
        <v>2446</v>
      </c>
      <c r="H5" s="2">
        <v>2868</v>
      </c>
      <c r="I5" s="2">
        <v>2618</v>
      </c>
      <c r="J5" s="2">
        <v>2654</v>
      </c>
      <c r="K5" s="2">
        <v>2781</v>
      </c>
      <c r="L5" s="2">
        <v>3262</v>
      </c>
      <c r="M5" s="2">
        <v>3170</v>
      </c>
      <c r="N5" s="2">
        <v>2911</v>
      </c>
      <c r="O5" s="2">
        <v>2625</v>
      </c>
      <c r="P5" s="2">
        <v>3044</v>
      </c>
      <c r="Q5" s="2">
        <v>2664</v>
      </c>
      <c r="V5" s="2">
        <v>7352</v>
      </c>
      <c r="W5" s="2">
        <v>7610</v>
      </c>
      <c r="X5" s="2">
        <v>8748</v>
      </c>
      <c r="Y5" s="2">
        <v>9383</v>
      </c>
      <c r="Z5" s="2">
        <v>10514</v>
      </c>
      <c r="AA5" s="2">
        <v>10552</v>
      </c>
      <c r="AB5" s="2">
        <v>11347</v>
      </c>
      <c r="AC5" s="2">
        <v>9213</v>
      </c>
      <c r="AD5" s="2">
        <v>10469</v>
      </c>
      <c r="AE5" s="2">
        <v>11867</v>
      </c>
      <c r="AF5" s="2">
        <v>11244</v>
      </c>
      <c r="AG5" s="2">
        <f>+AF5*1.01</f>
        <v>11356.44</v>
      </c>
      <c r="AH5" s="2">
        <f t="shared" ref="AH5:AP5" si="2">+AG5*1.01</f>
        <v>11470.0044</v>
      </c>
      <c r="AI5" s="2">
        <f t="shared" si="2"/>
        <v>11584.704443999999</v>
      </c>
      <c r="AJ5" s="2">
        <f t="shared" si="2"/>
        <v>11700.55148844</v>
      </c>
      <c r="AK5" s="2">
        <f t="shared" si="2"/>
        <v>11817.5570033244</v>
      </c>
      <c r="AL5" s="2">
        <f t="shared" si="2"/>
        <v>11935.732573357644</v>
      </c>
      <c r="AM5" s="2">
        <f t="shared" si="2"/>
        <v>12055.089899091219</v>
      </c>
      <c r="AN5" s="2">
        <f t="shared" si="2"/>
        <v>12175.640798082131</v>
      </c>
      <c r="AO5" s="2">
        <f t="shared" si="2"/>
        <v>12297.397206062953</v>
      </c>
      <c r="AP5" s="2">
        <f t="shared" si="2"/>
        <v>12420.371178123583</v>
      </c>
    </row>
    <row r="6" spans="1:143" s="4" customFormat="1" ht="13.5" customHeight="1" x14ac:dyDescent="0.2">
      <c r="A6" s="3" t="s">
        <v>11</v>
      </c>
      <c r="B6" s="4">
        <f>+B4-B5</f>
        <v>2178</v>
      </c>
      <c r="C6" s="4">
        <f>+C4-C5</f>
        <v>1721</v>
      </c>
      <c r="D6" s="4">
        <f>+D4-D5</f>
        <v>2798</v>
      </c>
      <c r="E6" s="4">
        <f>+E4-E5</f>
        <v>2527</v>
      </c>
      <c r="F6" s="4">
        <f>+F4-F5</f>
        <v>2730</v>
      </c>
      <c r="G6" s="4">
        <f>+G4-G5</f>
        <v>2631</v>
      </c>
      <c r="H6" s="4">
        <f>+H4-H5</f>
        <v>2884</v>
      </c>
      <c r="I6" s="4">
        <f>+I4-I5</f>
        <v>2519</v>
      </c>
      <c r="J6" s="4">
        <f>+J4-J5</f>
        <v>2648</v>
      </c>
      <c r="K6" s="4">
        <f>+K4-K5</f>
        <v>2815</v>
      </c>
      <c r="L6" s="4">
        <f>+L4-L5</f>
        <v>3146</v>
      </c>
      <c r="M6" s="4">
        <f>+M4-M5</f>
        <v>2035</v>
      </c>
      <c r="N6" s="4">
        <f>+N4-N5</f>
        <v>2363</v>
      </c>
      <c r="O6" s="4">
        <f>+O4-O5</f>
        <v>2718</v>
      </c>
      <c r="P6" s="4">
        <f>+P4-P5</f>
        <v>2955</v>
      </c>
      <c r="Q6" s="4">
        <f>+Q4-Q5</f>
        <v>2148</v>
      </c>
      <c r="V6" s="4">
        <f>+V4-V5</f>
        <v>7140</v>
      </c>
      <c r="W6" s="4">
        <f>+W4-W5</f>
        <v>6924</v>
      </c>
      <c r="X6" s="4">
        <f>+X4-X5</f>
        <v>8167</v>
      </c>
      <c r="Y6" s="4">
        <f>+Y4-Y5</f>
        <v>9100</v>
      </c>
      <c r="Z6" s="4">
        <f>+Z4-Z5</f>
        <v>10704</v>
      </c>
      <c r="AA6" s="4">
        <f>+AA4-AA5</f>
        <v>11363</v>
      </c>
      <c r="AB6" s="4">
        <f>+AB4-AB5</f>
        <v>12293</v>
      </c>
      <c r="AC6" s="4">
        <f>+AC4-AC5</f>
        <v>9222</v>
      </c>
      <c r="AD6" s="4">
        <f>+AD4-AD5</f>
        <v>10765</v>
      </c>
      <c r="AE6" s="4">
        <f>+AE4-AE5</f>
        <v>10644</v>
      </c>
      <c r="AF6" s="4">
        <f>+AF4-AF5</f>
        <v>10183</v>
      </c>
      <c r="AG6" s="4">
        <f t="shared" ref="AG6:AP6" si="3">+AG4-AG5</f>
        <v>10284.83</v>
      </c>
      <c r="AH6" s="4">
        <f t="shared" si="3"/>
        <v>10387.678300000001</v>
      </c>
      <c r="AI6" s="4">
        <f t="shared" si="3"/>
        <v>10491.555083000003</v>
      </c>
      <c r="AJ6" s="4">
        <f t="shared" si="3"/>
        <v>10596.470633830002</v>
      </c>
      <c r="AK6" s="4">
        <f t="shared" si="3"/>
        <v>10702.4353401683</v>
      </c>
      <c r="AL6" s="4">
        <f t="shared" si="3"/>
        <v>10809.459693569985</v>
      </c>
      <c r="AM6" s="4">
        <f t="shared" si="3"/>
        <v>10917.554290505685</v>
      </c>
      <c r="AN6" s="4">
        <f t="shared" si="3"/>
        <v>11026.72983341074</v>
      </c>
      <c r="AO6" s="4">
        <f t="shared" si="3"/>
        <v>11136.997131744847</v>
      </c>
      <c r="AP6" s="4">
        <f t="shared" si="3"/>
        <v>11248.367103062294</v>
      </c>
    </row>
    <row r="7" spans="1:143" x14ac:dyDescent="0.2">
      <c r="A7" t="s">
        <v>13</v>
      </c>
      <c r="B7" s="2">
        <v>648</v>
      </c>
      <c r="C7" s="2">
        <v>525</v>
      </c>
      <c r="D7" s="2">
        <v>538</v>
      </c>
      <c r="E7" s="2">
        <v>662</v>
      </c>
      <c r="F7" s="2">
        <v>541</v>
      </c>
      <c r="G7" s="2">
        <v>616</v>
      </c>
      <c r="H7" s="2">
        <v>574</v>
      </c>
      <c r="I7" s="2">
        <v>715</v>
      </c>
      <c r="J7" s="2">
        <v>641</v>
      </c>
      <c r="K7" s="2">
        <v>663</v>
      </c>
      <c r="L7" s="2">
        <v>691</v>
      </c>
      <c r="M7" s="2">
        <v>767</v>
      </c>
      <c r="N7" s="2">
        <v>601</v>
      </c>
      <c r="O7" s="2">
        <v>617</v>
      </c>
      <c r="P7" s="2">
        <v>644</v>
      </c>
      <c r="Q7" s="2">
        <v>666</v>
      </c>
      <c r="AA7" s="2">
        <v>3001</v>
      </c>
      <c r="AB7" s="2">
        <v>3042</v>
      </c>
      <c r="AC7" s="2">
        <v>2373</v>
      </c>
      <c r="AD7" s="2">
        <v>2547</v>
      </c>
      <c r="AE7" s="2">
        <v>2763</v>
      </c>
      <c r="AF7" s="2">
        <v>2528</v>
      </c>
      <c r="AG7" s="2">
        <f>+AG4*0.11</f>
        <v>2380.5397000000003</v>
      </c>
      <c r="AH7" s="2">
        <f t="shared" ref="AH7:AP7" si="4">+AH4*0.11</f>
        <v>2404.3450970000004</v>
      </c>
      <c r="AI7" s="2">
        <f t="shared" si="4"/>
        <v>2428.3885479700002</v>
      </c>
      <c r="AJ7" s="2">
        <f t="shared" si="4"/>
        <v>2452.6724334497003</v>
      </c>
      <c r="AK7" s="2">
        <f t="shared" si="4"/>
        <v>2477.1991577841973</v>
      </c>
      <c r="AL7" s="2">
        <f t="shared" si="4"/>
        <v>2501.9711493620393</v>
      </c>
      <c r="AM7" s="2">
        <f t="shared" si="4"/>
        <v>2526.9908608556593</v>
      </c>
      <c r="AN7" s="2">
        <f t="shared" si="4"/>
        <v>2552.2607694642161</v>
      </c>
      <c r="AO7" s="2">
        <f t="shared" si="4"/>
        <v>2577.783377158858</v>
      </c>
      <c r="AP7" s="2">
        <f t="shared" si="4"/>
        <v>2603.5612109304466</v>
      </c>
    </row>
    <row r="8" spans="1:143" x14ac:dyDescent="0.2">
      <c r="A8" t="s">
        <v>14</v>
      </c>
      <c r="B8" s="2">
        <v>1498</v>
      </c>
      <c r="C8" s="2">
        <v>1484</v>
      </c>
      <c r="D8" s="2">
        <v>1554</v>
      </c>
      <c r="E8" s="2">
        <v>1670</v>
      </c>
      <c r="F8" s="2">
        <v>1506</v>
      </c>
      <c r="G8" s="2">
        <v>1492</v>
      </c>
      <c r="H8" s="2">
        <v>1562</v>
      </c>
      <c r="I8" s="2">
        <v>1786</v>
      </c>
      <c r="J8" s="2">
        <v>1617</v>
      </c>
      <c r="K8" s="2">
        <v>1838</v>
      </c>
      <c r="L8" s="2">
        <v>1985</v>
      </c>
      <c r="M8" s="2">
        <v>2058</v>
      </c>
      <c r="N8" s="2">
        <v>1766</v>
      </c>
      <c r="O8" s="2">
        <v>1965</v>
      </c>
      <c r="P8" s="2">
        <v>1926</v>
      </c>
      <c r="Q8" s="2">
        <v>1885</v>
      </c>
      <c r="AA8" s="2">
        <f>4450+1576</f>
        <v>6026</v>
      </c>
      <c r="AB8" s="2">
        <f>4997+1652</f>
        <v>6649</v>
      </c>
      <c r="AC8" s="2">
        <v>6207</v>
      </c>
      <c r="AD8" s="2">
        <v>6345</v>
      </c>
      <c r="AE8" s="2">
        <v>7498</v>
      </c>
      <c r="AF8" s="2">
        <v>7541</v>
      </c>
      <c r="AG8" s="2">
        <f>+AG4*0.31</f>
        <v>6708.7937000000002</v>
      </c>
      <c r="AH8" s="2">
        <f t="shared" ref="AH8:AP8" si="5">+AH4*0.31</f>
        <v>6775.8816370000004</v>
      </c>
      <c r="AI8" s="2">
        <f t="shared" si="5"/>
        <v>6843.6404533700006</v>
      </c>
      <c r="AJ8" s="2">
        <f t="shared" si="5"/>
        <v>6912.0768579037003</v>
      </c>
      <c r="AK8" s="2">
        <f t="shared" si="5"/>
        <v>6981.1976264827372</v>
      </c>
      <c r="AL8" s="2">
        <f t="shared" si="5"/>
        <v>7051.0096027475647</v>
      </c>
      <c r="AM8" s="2">
        <f t="shared" si="5"/>
        <v>7121.5196987750405</v>
      </c>
      <c r="AN8" s="2">
        <f t="shared" si="5"/>
        <v>7192.7348957627901</v>
      </c>
      <c r="AO8" s="2">
        <f t="shared" si="5"/>
        <v>7264.6622447204181</v>
      </c>
      <c r="AP8" s="2">
        <f t="shared" si="5"/>
        <v>7337.3088671676214</v>
      </c>
    </row>
    <row r="9" spans="1:143" x14ac:dyDescent="0.2">
      <c r="A9" t="s">
        <v>12</v>
      </c>
      <c r="B9" s="2">
        <v>17</v>
      </c>
      <c r="C9" s="2">
        <v>27</v>
      </c>
      <c r="D9" s="2">
        <v>29</v>
      </c>
      <c r="E9" s="2">
        <v>31</v>
      </c>
      <c r="F9" s="2">
        <v>21</v>
      </c>
      <c r="G9" s="2">
        <v>19</v>
      </c>
      <c r="H9" s="2">
        <v>25</v>
      </c>
      <c r="I9" s="2">
        <v>48</v>
      </c>
      <c r="J9" s="2">
        <v>46</v>
      </c>
      <c r="K9" s="2">
        <v>78</v>
      </c>
      <c r="L9" s="2">
        <v>94</v>
      </c>
      <c r="M9" s="2">
        <f>26+41</f>
        <v>67</v>
      </c>
      <c r="N9" s="2">
        <v>64</v>
      </c>
      <c r="O9" s="2">
        <v>39</v>
      </c>
      <c r="P9" s="2">
        <v>25</v>
      </c>
      <c r="Q9" s="2">
        <v>27</v>
      </c>
      <c r="V9" s="2">
        <f>104+143-52</f>
        <v>195</v>
      </c>
      <c r="W9" s="2">
        <f>102+138-78</f>
        <v>162</v>
      </c>
      <c r="X9" s="2">
        <f>119+96-34</f>
        <v>181</v>
      </c>
      <c r="Y9" s="2">
        <f>105+262</f>
        <v>367</v>
      </c>
      <c r="Z9" s="2">
        <v>248</v>
      </c>
      <c r="AA9" s="2">
        <f>177-105-41</f>
        <v>31</v>
      </c>
      <c r="AB9" s="2">
        <f>210-134-18</f>
        <v>58</v>
      </c>
      <c r="AC9" s="2">
        <v>103</v>
      </c>
      <c r="AD9" s="2">
        <v>114</v>
      </c>
      <c r="AE9" s="2">
        <v>285</v>
      </c>
      <c r="AF9" s="2">
        <v>154</v>
      </c>
      <c r="AG9" s="2">
        <f>+AG4*0.01</f>
        <v>216.4127</v>
      </c>
      <c r="AH9" s="2">
        <f t="shared" ref="AH9:AP9" si="6">+AH4*0.01</f>
        <v>218.57682700000001</v>
      </c>
      <c r="AI9" s="2">
        <f t="shared" si="6"/>
        <v>220.76259527000002</v>
      </c>
      <c r="AJ9" s="2">
        <f t="shared" si="6"/>
        <v>222.97022122270002</v>
      </c>
      <c r="AK9" s="2">
        <f t="shared" si="6"/>
        <v>225.199923434927</v>
      </c>
      <c r="AL9" s="2">
        <f t="shared" si="6"/>
        <v>227.45192266927629</v>
      </c>
      <c r="AM9" s="2">
        <f t="shared" si="6"/>
        <v>229.72644189596903</v>
      </c>
      <c r="AN9" s="2">
        <f t="shared" si="6"/>
        <v>232.02370631492872</v>
      </c>
      <c r="AO9" s="2">
        <f t="shared" si="6"/>
        <v>234.343943378078</v>
      </c>
      <c r="AP9" s="2">
        <f t="shared" si="6"/>
        <v>236.68738281185878</v>
      </c>
    </row>
    <row r="10" spans="1:143" x14ac:dyDescent="0.2">
      <c r="A10" t="s">
        <v>15</v>
      </c>
      <c r="B10" s="2">
        <f>+SUM(B7:B8)-B9</f>
        <v>2129</v>
      </c>
      <c r="C10" s="2">
        <f>+SUM(C7:C8)-C9</f>
        <v>1982</v>
      </c>
      <c r="D10" s="2">
        <f>+SUM(D7:D8)-D9</f>
        <v>2063</v>
      </c>
      <c r="E10" s="2">
        <f>+SUM(E7:E8)-E9</f>
        <v>2301</v>
      </c>
      <c r="F10" s="2">
        <f>+SUM(F7:F8)-F9</f>
        <v>2026</v>
      </c>
      <c r="G10" s="2">
        <f>+SUM(G7:G8)-G9</f>
        <v>2089</v>
      </c>
      <c r="H10" s="2">
        <f>+SUM(H7:H8)-H9</f>
        <v>2111</v>
      </c>
      <c r="I10" s="2">
        <f>+SUM(I7:I8)-I9</f>
        <v>2453</v>
      </c>
      <c r="J10" s="2">
        <f>+SUM(J7:J8)-J9</f>
        <v>2212</v>
      </c>
      <c r="K10" s="2">
        <f>+SUM(K7:K8)-K9</f>
        <v>2423</v>
      </c>
      <c r="L10" s="2">
        <f>+SUM(L7:L8)-L9</f>
        <v>2582</v>
      </c>
      <c r="M10" s="2">
        <f>+SUM(M7:M8)-M9</f>
        <v>2758</v>
      </c>
      <c r="N10" s="2">
        <f>+SUM(N7:N8)-N9</f>
        <v>2303</v>
      </c>
      <c r="O10" s="2">
        <f>+SUM(O7:O8)-O9</f>
        <v>2543</v>
      </c>
      <c r="P10" s="2">
        <f>+SUM(P7:P8)-P9</f>
        <v>2545</v>
      </c>
      <c r="Q10" s="2">
        <f>+SUM(Q7:Q8)-Q9</f>
        <v>2524</v>
      </c>
      <c r="V10" s="2">
        <v>6133</v>
      </c>
      <c r="W10" s="2">
        <v>6203</v>
      </c>
      <c r="X10" s="2">
        <v>7289</v>
      </c>
      <c r="Y10" s="2">
        <v>7885</v>
      </c>
      <c r="Z10" s="2">
        <v>8882</v>
      </c>
      <c r="AA10" s="2">
        <f>+SUM(AA7:AA8)-AA9</f>
        <v>8996</v>
      </c>
      <c r="AB10" s="2">
        <f>+SUM(AB7:AB8)-AB9</f>
        <v>9633</v>
      </c>
      <c r="AC10" s="2">
        <f>+SUM(AC7:AC8)-AC9</f>
        <v>8477</v>
      </c>
      <c r="AD10" s="2">
        <f>+SUM(AD7:AD8)-AD9</f>
        <v>8778</v>
      </c>
      <c r="AE10" s="2">
        <f>+SUM(AE7:AE8)-AE9</f>
        <v>9976</v>
      </c>
      <c r="AF10" s="2">
        <f>+SUM(AF7:AF8)-AF9</f>
        <v>9915</v>
      </c>
      <c r="AG10" s="2">
        <f t="shared" ref="AG10:AP10" si="7">+SUM(AG7:AG8)-AG9</f>
        <v>8872.9206999999988</v>
      </c>
      <c r="AH10" s="2">
        <f t="shared" si="7"/>
        <v>8961.6499069999991</v>
      </c>
      <c r="AI10" s="2">
        <f t="shared" si="7"/>
        <v>9051.2664060700008</v>
      </c>
      <c r="AJ10" s="2">
        <f t="shared" si="7"/>
        <v>9141.7790701307003</v>
      </c>
      <c r="AK10" s="2">
        <f t="shared" si="7"/>
        <v>9233.1968608320058</v>
      </c>
      <c r="AL10" s="2">
        <f t="shared" si="7"/>
        <v>9325.528829440329</v>
      </c>
      <c r="AM10" s="2">
        <f t="shared" si="7"/>
        <v>9418.7841177347309</v>
      </c>
      <c r="AN10" s="2">
        <f t="shared" si="7"/>
        <v>9512.9719589120778</v>
      </c>
      <c r="AO10" s="2">
        <f t="shared" si="7"/>
        <v>9608.101678501198</v>
      </c>
      <c r="AP10" s="2">
        <f t="shared" si="7"/>
        <v>9704.1826952862102</v>
      </c>
    </row>
    <row r="11" spans="1:143" s="4" customFormat="1" x14ac:dyDescent="0.2">
      <c r="A11" s="3" t="s">
        <v>18</v>
      </c>
      <c r="B11" s="4">
        <f>+B6-B10</f>
        <v>49</v>
      </c>
      <c r="C11" s="4">
        <f>+C6-C10</f>
        <v>-261</v>
      </c>
      <c r="D11" s="4">
        <f>+D6-D10</f>
        <v>735</v>
      </c>
      <c r="E11" s="4">
        <f>+E6-E10</f>
        <v>226</v>
      </c>
      <c r="F11" s="4">
        <f>+F6-F10</f>
        <v>704</v>
      </c>
      <c r="G11" s="4">
        <f>+G6-G10</f>
        <v>542</v>
      </c>
      <c r="H11" s="4">
        <f>+H6-H10</f>
        <v>773</v>
      </c>
      <c r="I11" s="4">
        <f>+I6-I10</f>
        <v>66</v>
      </c>
      <c r="J11" s="4">
        <f>+J6-J10</f>
        <v>436</v>
      </c>
      <c r="K11" s="4">
        <f>+K6-K10</f>
        <v>392</v>
      </c>
      <c r="L11" s="4">
        <f>+L6-L10</f>
        <v>564</v>
      </c>
      <c r="M11" s="4">
        <f>+M6-M10</f>
        <v>-723</v>
      </c>
      <c r="N11" s="4">
        <f>+N6-N10</f>
        <v>60</v>
      </c>
      <c r="O11" s="4">
        <f>+O6-O10</f>
        <v>175</v>
      </c>
      <c r="P11" s="4">
        <f>+P6-P10</f>
        <v>410</v>
      </c>
      <c r="Q11" s="4">
        <f>+Q6-Q10</f>
        <v>-376</v>
      </c>
      <c r="V11" s="4">
        <f>+V6-V10+V9</f>
        <v>1202</v>
      </c>
      <c r="W11" s="4">
        <f>+W6-W10+W9</f>
        <v>883</v>
      </c>
      <c r="X11" s="4">
        <f>+X6-X10+X9</f>
        <v>1059</v>
      </c>
      <c r="Y11" s="4">
        <f>+Y6-Y10+Y9</f>
        <v>1582</v>
      </c>
      <c r="Z11" s="4">
        <f>+Z6-Z10+Z9</f>
        <v>2070</v>
      </c>
      <c r="AA11" s="4">
        <f>+AA6-AA10</f>
        <v>2367</v>
      </c>
      <c r="AB11" s="4">
        <f>+AB6-AB10</f>
        <v>2660</v>
      </c>
      <c r="AC11" s="4">
        <f>+AC6-AC10</f>
        <v>745</v>
      </c>
      <c r="AD11" s="4">
        <f>+AD6-AD10</f>
        <v>1987</v>
      </c>
      <c r="AE11" s="4">
        <f>+AE6-AE10</f>
        <v>668</v>
      </c>
      <c r="AF11" s="4">
        <f>+AF6-AF10</f>
        <v>268</v>
      </c>
      <c r="AG11" s="4">
        <f t="shared" ref="AG11:AP11" si="8">+AG6-AG10</f>
        <v>1411.9093000000012</v>
      </c>
      <c r="AH11" s="4">
        <f t="shared" si="8"/>
        <v>1426.0283930000023</v>
      </c>
      <c r="AI11" s="4">
        <f t="shared" si="8"/>
        <v>1440.2886769300021</v>
      </c>
      <c r="AJ11" s="4">
        <f t="shared" si="8"/>
        <v>1454.6915636993017</v>
      </c>
      <c r="AK11" s="4">
        <f t="shared" si="8"/>
        <v>1469.2384793362944</v>
      </c>
      <c r="AL11" s="4">
        <f t="shared" si="8"/>
        <v>1483.9308641296557</v>
      </c>
      <c r="AM11" s="4">
        <f t="shared" si="8"/>
        <v>1498.7701727709536</v>
      </c>
      <c r="AN11" s="4">
        <f t="shared" si="8"/>
        <v>1513.7578744986622</v>
      </c>
      <c r="AO11" s="4">
        <f t="shared" si="8"/>
        <v>1528.8954532436492</v>
      </c>
      <c r="AP11" s="4">
        <f t="shared" si="8"/>
        <v>1544.1844077760834</v>
      </c>
    </row>
    <row r="12" spans="1:143" x14ac:dyDescent="0.2">
      <c r="A12" t="s">
        <v>19</v>
      </c>
      <c r="B12" s="2">
        <v>7</v>
      </c>
      <c r="C12" s="2">
        <v>13</v>
      </c>
      <c r="D12" s="2">
        <v>5</v>
      </c>
      <c r="E12" s="2">
        <v>11</v>
      </c>
      <c r="F12" s="2">
        <v>3</v>
      </c>
      <c r="G12" s="2">
        <v>4</v>
      </c>
      <c r="H12" s="2">
        <v>6</v>
      </c>
      <c r="I12" s="2">
        <v>17</v>
      </c>
      <c r="J12" s="2">
        <v>8</v>
      </c>
      <c r="K12" s="2">
        <v>16</v>
      </c>
      <c r="L12" s="2">
        <v>8</v>
      </c>
      <c r="M12" s="2">
        <v>30</v>
      </c>
      <c r="N12" s="2">
        <v>13</v>
      </c>
      <c r="O12" s="2">
        <v>19</v>
      </c>
      <c r="P12" s="2">
        <v>31</v>
      </c>
      <c r="Q12" s="2">
        <v>25</v>
      </c>
      <c r="V12" s="2">
        <v>26</v>
      </c>
      <c r="W12" s="2">
        <v>19</v>
      </c>
      <c r="X12" s="2">
        <v>46</v>
      </c>
      <c r="Y12" s="2">
        <v>28</v>
      </c>
      <c r="Z12" s="2">
        <v>46</v>
      </c>
      <c r="AA12" s="2">
        <v>57</v>
      </c>
      <c r="AB12" s="2">
        <v>64</v>
      </c>
      <c r="AC12" s="2">
        <v>29</v>
      </c>
      <c r="AD12" s="2">
        <v>19</v>
      </c>
      <c r="AE12" s="2">
        <v>39</v>
      </c>
      <c r="AF12" s="2">
        <v>79</v>
      </c>
      <c r="AG12" s="2">
        <f>+AF31*$AS$20</f>
        <v>-3.12</v>
      </c>
      <c r="AH12" s="2">
        <f t="shared" ref="AH12:AP12" si="9">+AG31*$AS$20</f>
        <v>4.8662251000000083</v>
      </c>
      <c r="AI12" s="2">
        <f t="shared" si="9"/>
        <v>13.100952426700026</v>
      </c>
      <c r="AJ12" s="2">
        <f t="shared" si="9"/>
        <v>21.582221582196944</v>
      </c>
      <c r="AK12" s="2">
        <f t="shared" si="9"/>
        <v>30.308302741667436</v>
      </c>
      <c r="AL12" s="2">
        <f t="shared" si="9"/>
        <v>39.277686645588169</v>
      </c>
      <c r="AM12" s="2">
        <f t="shared" si="9"/>
        <v>48.489075108921128</v>
      </c>
      <c r="AN12" s="2">
        <f t="shared" si="9"/>
        <v>57.941372021591185</v>
      </c>
      <c r="AO12" s="2">
        <f t="shared" si="9"/>
        <v>67.63367481586836</v>
      </c>
      <c r="AP12" s="2">
        <f t="shared" si="9"/>
        <v>77.565266377488598</v>
      </c>
    </row>
    <row r="13" spans="1:143" x14ac:dyDescent="0.2">
      <c r="A13" t="s">
        <v>21</v>
      </c>
      <c r="B13" s="2">
        <v>42</v>
      </c>
      <c r="C13" s="2">
        <v>42</v>
      </c>
      <c r="D13" s="2">
        <v>42</v>
      </c>
      <c r="E13" s="2">
        <v>76</v>
      </c>
      <c r="F13" s="2">
        <v>38</v>
      </c>
      <c r="G13" s="2">
        <v>37</v>
      </c>
      <c r="H13" s="2">
        <v>49</v>
      </c>
      <c r="I13" s="2">
        <v>39</v>
      </c>
      <c r="J13" s="2">
        <v>34</v>
      </c>
      <c r="K13" s="2">
        <v>107</v>
      </c>
      <c r="L13" s="2">
        <v>162</v>
      </c>
      <c r="M13" s="2">
        <v>41</v>
      </c>
      <c r="N13" s="2">
        <v>41</v>
      </c>
      <c r="O13" s="2">
        <v>71</v>
      </c>
      <c r="P13" s="2">
        <v>115</v>
      </c>
      <c r="Q13" s="2">
        <v>63</v>
      </c>
      <c r="V13" s="2">
        <v>94</v>
      </c>
      <c r="W13" s="2">
        <v>67</v>
      </c>
      <c r="X13" s="2">
        <v>67</v>
      </c>
      <c r="Y13" s="2">
        <v>74</v>
      </c>
      <c r="Z13" s="2">
        <v>93</v>
      </c>
      <c r="AA13" s="2">
        <v>47</v>
      </c>
      <c r="AB13" s="2">
        <v>166</v>
      </c>
      <c r="AC13" s="2">
        <v>196</v>
      </c>
      <c r="AD13" s="2">
        <v>153</v>
      </c>
      <c r="AE13" s="2">
        <v>320</v>
      </c>
      <c r="AF13" s="2">
        <v>282</v>
      </c>
      <c r="AG13" s="2">
        <f>+AF13*0.95</f>
        <v>267.89999999999998</v>
      </c>
      <c r="AH13" s="2">
        <f t="shared" ref="AH13:AP13" si="10">+AG13*0.95</f>
        <v>254.50499999999997</v>
      </c>
      <c r="AI13" s="2">
        <f t="shared" si="10"/>
        <v>241.77974999999995</v>
      </c>
      <c r="AJ13" s="2">
        <f t="shared" si="10"/>
        <v>229.69076249999995</v>
      </c>
      <c r="AK13" s="2">
        <f t="shared" si="10"/>
        <v>218.20622437499995</v>
      </c>
      <c r="AL13" s="2">
        <f t="shared" si="10"/>
        <v>207.29591315624995</v>
      </c>
      <c r="AM13" s="2">
        <f t="shared" si="10"/>
        <v>196.93111749843746</v>
      </c>
      <c r="AN13" s="2">
        <f t="shared" si="10"/>
        <v>187.08456162351558</v>
      </c>
      <c r="AO13" s="2">
        <f t="shared" si="10"/>
        <v>177.73033354233979</v>
      </c>
      <c r="AP13" s="2">
        <f t="shared" si="10"/>
        <v>168.84381686522281</v>
      </c>
    </row>
    <row r="14" spans="1:143" x14ac:dyDescent="0.2">
      <c r="A14" t="s">
        <v>22</v>
      </c>
      <c r="B14" s="2">
        <f>+B11+B12-B13</f>
        <v>14</v>
      </c>
      <c r="C14" s="2">
        <f>+C11+C12-C13</f>
        <v>-290</v>
      </c>
      <c r="D14" s="2">
        <f>+D11+D12-D13</f>
        <v>698</v>
      </c>
      <c r="E14" s="2">
        <f>+E11+E12-E13</f>
        <v>161</v>
      </c>
      <c r="F14" s="2">
        <f>+F11+F12-F13</f>
        <v>669</v>
      </c>
      <c r="G14" s="2">
        <f>+G11+G12-G13</f>
        <v>509</v>
      </c>
      <c r="H14" s="2">
        <f>+H11+H12-H13</f>
        <v>730</v>
      </c>
      <c r="I14" s="2">
        <f>+I11+I12-I13</f>
        <v>44</v>
      </c>
      <c r="J14" s="2">
        <f>+J11+J12-J13</f>
        <v>410</v>
      </c>
      <c r="K14" s="2">
        <f>+K11+K12-K13</f>
        <v>301</v>
      </c>
      <c r="L14" s="2">
        <f>+L11+L12-L13</f>
        <v>410</v>
      </c>
      <c r="M14" s="2">
        <f>+M11+M12-M13</f>
        <v>-734</v>
      </c>
      <c r="N14" s="2">
        <f>+N11+N12-N13</f>
        <v>32</v>
      </c>
      <c r="O14" s="2">
        <f>+O11+O12-O13</f>
        <v>123</v>
      </c>
      <c r="P14" s="2">
        <f>+P11+P12-P13</f>
        <v>326</v>
      </c>
      <c r="Q14" s="2">
        <f>+Q11+Q12-Q13</f>
        <v>-414</v>
      </c>
      <c r="V14" s="2">
        <f>+V11+V12-V13</f>
        <v>1134</v>
      </c>
      <c r="W14" s="2">
        <f>+W11+W12-W13</f>
        <v>835</v>
      </c>
      <c r="X14" s="2">
        <f>+X11+X12-X13</f>
        <v>1038</v>
      </c>
      <c r="Y14" s="2">
        <f>+Y11+Y12-Y13</f>
        <v>1536</v>
      </c>
      <c r="Z14" s="2">
        <f>+Z11+Z12-Z13</f>
        <v>2023</v>
      </c>
      <c r="AA14" s="2">
        <f>+AA11+AA12-AA13</f>
        <v>2377</v>
      </c>
      <c r="AB14" s="2">
        <f>+AB11+AB12-AB13</f>
        <v>2558</v>
      </c>
      <c r="AC14" s="2">
        <f>+AC11+AC12-AC13</f>
        <v>578</v>
      </c>
      <c r="AD14" s="2">
        <f>+AD11+AD12-AD13</f>
        <v>1853</v>
      </c>
      <c r="AE14" s="2">
        <f>+AE11+AE12-AE13</f>
        <v>387</v>
      </c>
      <c r="AF14" s="2">
        <f>+AF11+AF12-AF13</f>
        <v>65</v>
      </c>
      <c r="AG14" s="2">
        <f t="shared" ref="AG14:AP14" si="11">+AG11+AG12-AG13</f>
        <v>1140.8893000000012</v>
      </c>
      <c r="AH14" s="2">
        <f t="shared" si="11"/>
        <v>1176.3896181000025</v>
      </c>
      <c r="AI14" s="2">
        <f t="shared" si="11"/>
        <v>1211.6098793567023</v>
      </c>
      <c r="AJ14" s="2">
        <f t="shared" si="11"/>
        <v>1246.5830227814988</v>
      </c>
      <c r="AK14" s="2">
        <f t="shared" si="11"/>
        <v>1281.3405577029619</v>
      </c>
      <c r="AL14" s="2">
        <f t="shared" si="11"/>
        <v>1315.9126376189938</v>
      </c>
      <c r="AM14" s="2">
        <f t="shared" si="11"/>
        <v>1350.3281303814372</v>
      </c>
      <c r="AN14" s="2">
        <f t="shared" si="11"/>
        <v>1384.6146848967378</v>
      </c>
      <c r="AO14" s="2">
        <f t="shared" si="11"/>
        <v>1418.7987945171776</v>
      </c>
      <c r="AP14" s="2">
        <f t="shared" si="11"/>
        <v>1452.9058572883491</v>
      </c>
    </row>
    <row r="15" spans="1:143" x14ac:dyDescent="0.2">
      <c r="A15" t="s">
        <v>23</v>
      </c>
      <c r="B15" s="2">
        <v>-13</v>
      </c>
      <c r="C15" s="2">
        <v>-243</v>
      </c>
      <c r="D15" s="2">
        <v>163</v>
      </c>
      <c r="E15" s="2">
        <v>17</v>
      </c>
      <c r="F15" s="2">
        <v>166</v>
      </c>
      <c r="G15" s="2">
        <v>123</v>
      </c>
      <c r="H15" s="2">
        <v>150</v>
      </c>
      <c r="I15" s="2">
        <v>-79</v>
      </c>
      <c r="J15" s="2">
        <v>101</v>
      </c>
      <c r="K15" s="2">
        <v>-60</v>
      </c>
      <c r="L15" s="2">
        <v>345</v>
      </c>
      <c r="M15" s="2">
        <v>-252</v>
      </c>
      <c r="N15" s="2">
        <v>55</v>
      </c>
      <c r="O15" s="2">
        <v>27</v>
      </c>
      <c r="P15" s="2">
        <v>55</v>
      </c>
      <c r="Q15" s="2">
        <v>-14</v>
      </c>
      <c r="V15" s="2">
        <v>344</v>
      </c>
      <c r="W15" s="2">
        <v>271</v>
      </c>
      <c r="X15" s="2">
        <v>353</v>
      </c>
      <c r="Y15" s="2">
        <v>454</v>
      </c>
      <c r="Z15" s="2">
        <v>668</v>
      </c>
      <c r="AA15" s="2">
        <v>669</v>
      </c>
      <c r="AB15" s="2">
        <v>640</v>
      </c>
      <c r="AC15" s="2">
        <v>117</v>
      </c>
      <c r="AD15" s="2">
        <v>360</v>
      </c>
      <c r="AE15" s="2">
        <v>134</v>
      </c>
      <c r="AF15" s="2">
        <v>124</v>
      </c>
      <c r="AG15" s="2">
        <f>+AG14*0.3</f>
        <v>342.26679000000036</v>
      </c>
      <c r="AH15" s="2">
        <f t="shared" ref="AH15:AP15" si="12">+AH14*0.3</f>
        <v>352.91688543000072</v>
      </c>
      <c r="AI15" s="2">
        <f t="shared" si="12"/>
        <v>363.48296380701066</v>
      </c>
      <c r="AJ15" s="2">
        <f t="shared" si="12"/>
        <v>373.97490683444965</v>
      </c>
      <c r="AK15" s="2">
        <f t="shared" si="12"/>
        <v>384.40216731088856</v>
      </c>
      <c r="AL15" s="2">
        <f t="shared" si="12"/>
        <v>394.77379128569811</v>
      </c>
      <c r="AM15" s="2">
        <f t="shared" si="12"/>
        <v>405.09843911443113</v>
      </c>
      <c r="AN15" s="2">
        <f t="shared" si="12"/>
        <v>415.38440546902132</v>
      </c>
      <c r="AO15" s="2">
        <f t="shared" si="12"/>
        <v>425.63963835515329</v>
      </c>
      <c r="AP15" s="2">
        <f t="shared" si="12"/>
        <v>435.87175718650474</v>
      </c>
    </row>
    <row r="16" spans="1:143" s="4" customFormat="1" x14ac:dyDescent="0.2">
      <c r="A16" s="3" t="s">
        <v>24</v>
      </c>
      <c r="B16" s="4">
        <f>+B14-B15</f>
        <v>27</v>
      </c>
      <c r="C16" s="4">
        <f>+C14-C15</f>
        <v>-47</v>
      </c>
      <c r="D16" s="4">
        <f>+D14-D15</f>
        <v>535</v>
      </c>
      <c r="E16" s="4">
        <f>+E14-E15</f>
        <v>144</v>
      </c>
      <c r="F16" s="4">
        <f>+F14-F15</f>
        <v>503</v>
      </c>
      <c r="G16" s="4">
        <f>+G14-G15</f>
        <v>386</v>
      </c>
      <c r="H16" s="4">
        <f>+H14-H15</f>
        <v>580</v>
      </c>
      <c r="I16" s="4">
        <f>+I14-I15</f>
        <v>123</v>
      </c>
      <c r="J16" s="4">
        <f>+J14-J15</f>
        <v>309</v>
      </c>
      <c r="K16" s="4">
        <f>+K14-K15</f>
        <v>361</v>
      </c>
      <c r="L16" s="4">
        <f>+L14-L15</f>
        <v>65</v>
      </c>
      <c r="M16" s="4">
        <f>+M14-M15</f>
        <v>-482</v>
      </c>
      <c r="N16" s="4">
        <f>+N14-N15</f>
        <v>-23</v>
      </c>
      <c r="O16" s="4">
        <f>+O14-O15</f>
        <v>96</v>
      </c>
      <c r="P16" s="4">
        <f>+P14-P15</f>
        <v>271</v>
      </c>
      <c r="Q16" s="4">
        <f>+Q14-Q15</f>
        <v>-400</v>
      </c>
      <c r="V16" s="4">
        <f>+V14-V15</f>
        <v>790</v>
      </c>
      <c r="W16" s="4">
        <f>+W14-W15</f>
        <v>564</v>
      </c>
      <c r="X16" s="4">
        <f>+X14-X15</f>
        <v>685</v>
      </c>
      <c r="Y16" s="4">
        <f>+Y14-Y15</f>
        <v>1082</v>
      </c>
      <c r="Z16" s="4">
        <f>+Z14-Z15</f>
        <v>1355</v>
      </c>
      <c r="AA16" s="4">
        <f>+AA14-AA15</f>
        <v>1708</v>
      </c>
      <c r="AB16" s="4">
        <f>+AB14-AB15</f>
        <v>1918</v>
      </c>
      <c r="AC16" s="4">
        <f>+AC14-AC15</f>
        <v>461</v>
      </c>
      <c r="AD16" s="4">
        <f>+AD14-AD15</f>
        <v>1493</v>
      </c>
      <c r="AE16" s="4">
        <f>+AE14-AE15</f>
        <v>253</v>
      </c>
      <c r="AF16" s="4">
        <f>+AF14-AF15</f>
        <v>-59</v>
      </c>
      <c r="AG16" s="4">
        <f t="shared" ref="AG16:AP16" si="13">+AG14-AG15</f>
        <v>798.62251000000083</v>
      </c>
      <c r="AH16" s="4">
        <f t="shared" si="13"/>
        <v>823.47273267000173</v>
      </c>
      <c r="AI16" s="4">
        <f t="shared" si="13"/>
        <v>848.1269155496916</v>
      </c>
      <c r="AJ16" s="4">
        <f t="shared" si="13"/>
        <v>872.6081159470491</v>
      </c>
      <c r="AK16" s="4">
        <f t="shared" si="13"/>
        <v>896.9383903920733</v>
      </c>
      <c r="AL16" s="4">
        <f t="shared" si="13"/>
        <v>921.13884633329576</v>
      </c>
      <c r="AM16" s="4">
        <f t="shared" si="13"/>
        <v>945.22969126700605</v>
      </c>
      <c r="AN16" s="4">
        <f t="shared" si="13"/>
        <v>969.23027942771648</v>
      </c>
      <c r="AO16" s="4">
        <f t="shared" si="13"/>
        <v>993.15915616202437</v>
      </c>
      <c r="AP16" s="4">
        <f t="shared" si="13"/>
        <v>1017.0341001018444</v>
      </c>
      <c r="AQ16" s="4">
        <f>+AP16*(1+$AS$21)</f>
        <v>1006.863759100826</v>
      </c>
      <c r="AR16" s="4">
        <f t="shared" ref="AR16:DC16" si="14">+AQ16*(1+$AS$21)</f>
        <v>996.7951215098177</v>
      </c>
      <c r="AS16" s="4">
        <f t="shared" si="14"/>
        <v>986.82717029471951</v>
      </c>
      <c r="AT16" s="4">
        <f t="shared" si="14"/>
        <v>976.95889859177225</v>
      </c>
      <c r="AU16" s="4">
        <f t="shared" si="14"/>
        <v>967.18930960585453</v>
      </c>
      <c r="AV16" s="4">
        <f t="shared" si="14"/>
        <v>957.51741650979602</v>
      </c>
      <c r="AW16" s="4">
        <f t="shared" si="14"/>
        <v>947.942242344698</v>
      </c>
      <c r="AX16" s="4">
        <f t="shared" si="14"/>
        <v>938.46281992125103</v>
      </c>
      <c r="AY16" s="4">
        <f t="shared" si="14"/>
        <v>929.07819172203847</v>
      </c>
      <c r="AZ16" s="4">
        <f t="shared" si="14"/>
        <v>919.78740980481803</v>
      </c>
      <c r="BA16" s="4">
        <f t="shared" si="14"/>
        <v>910.58953570676988</v>
      </c>
      <c r="BB16" s="4">
        <f t="shared" si="14"/>
        <v>901.48364034970223</v>
      </c>
      <c r="BC16" s="4">
        <f t="shared" si="14"/>
        <v>892.46880394620518</v>
      </c>
      <c r="BD16" s="4">
        <f t="shared" si="14"/>
        <v>883.54411590674317</v>
      </c>
      <c r="BE16" s="4">
        <f t="shared" si="14"/>
        <v>874.70867474767579</v>
      </c>
      <c r="BF16" s="4">
        <f t="shared" si="14"/>
        <v>865.96158800019907</v>
      </c>
      <c r="BG16" s="4">
        <f t="shared" si="14"/>
        <v>857.30197212019709</v>
      </c>
      <c r="BH16" s="4">
        <f t="shared" si="14"/>
        <v>848.72895239899515</v>
      </c>
      <c r="BI16" s="4">
        <f t="shared" si="14"/>
        <v>840.2416628750052</v>
      </c>
      <c r="BJ16" s="4">
        <f t="shared" si="14"/>
        <v>831.83924624625513</v>
      </c>
      <c r="BK16" s="4">
        <f t="shared" si="14"/>
        <v>823.52085378379252</v>
      </c>
      <c r="BL16" s="4">
        <f t="shared" si="14"/>
        <v>815.28564524595458</v>
      </c>
      <c r="BM16" s="4">
        <f t="shared" si="14"/>
        <v>807.13278879349502</v>
      </c>
      <c r="BN16" s="4">
        <f t="shared" si="14"/>
        <v>799.06146090556001</v>
      </c>
      <c r="BO16" s="4">
        <f t="shared" si="14"/>
        <v>791.07084629650444</v>
      </c>
      <c r="BP16" s="4">
        <f t="shared" si="14"/>
        <v>783.16013783353935</v>
      </c>
      <c r="BQ16" s="4">
        <f t="shared" si="14"/>
        <v>775.3285364552039</v>
      </c>
      <c r="BR16" s="4">
        <f t="shared" si="14"/>
        <v>767.57525109065182</v>
      </c>
      <c r="BS16" s="4">
        <f t="shared" si="14"/>
        <v>759.89949857974534</v>
      </c>
      <c r="BT16" s="4">
        <f t="shared" si="14"/>
        <v>752.30050359394784</v>
      </c>
      <c r="BU16" s="4">
        <f t="shared" si="14"/>
        <v>744.77749855800835</v>
      </c>
      <c r="BV16" s="4">
        <f t="shared" si="14"/>
        <v>737.32972357242829</v>
      </c>
      <c r="BW16" s="4">
        <f t="shared" si="14"/>
        <v>729.956426336704</v>
      </c>
      <c r="BX16" s="4">
        <f t="shared" si="14"/>
        <v>722.65686207333692</v>
      </c>
      <c r="BY16" s="4">
        <f t="shared" si="14"/>
        <v>715.43029345260356</v>
      </c>
      <c r="BZ16" s="4">
        <f t="shared" si="14"/>
        <v>708.27599051807749</v>
      </c>
      <c r="CA16" s="4">
        <f t="shared" si="14"/>
        <v>701.19323061289674</v>
      </c>
      <c r="CB16" s="4">
        <f t="shared" si="14"/>
        <v>694.18129830676776</v>
      </c>
      <c r="CC16" s="4">
        <f t="shared" si="14"/>
        <v>687.23948532370002</v>
      </c>
      <c r="CD16" s="4">
        <f t="shared" si="14"/>
        <v>680.36709047046304</v>
      </c>
      <c r="CE16" s="4">
        <f t="shared" si="14"/>
        <v>673.56341956575841</v>
      </c>
      <c r="CF16" s="4">
        <f t="shared" si="14"/>
        <v>666.82778537010086</v>
      </c>
      <c r="CG16" s="4">
        <f t="shared" si="14"/>
        <v>660.1595075163998</v>
      </c>
      <c r="CH16" s="4">
        <f t="shared" si="14"/>
        <v>653.55791244123577</v>
      </c>
      <c r="CI16" s="4">
        <f t="shared" si="14"/>
        <v>647.02233331682339</v>
      </c>
      <c r="CJ16" s="4">
        <f t="shared" si="14"/>
        <v>640.5521099836551</v>
      </c>
      <c r="CK16" s="4">
        <f t="shared" si="14"/>
        <v>634.14658888381859</v>
      </c>
      <c r="CL16" s="4">
        <f t="shared" si="14"/>
        <v>627.80512299498037</v>
      </c>
      <c r="CM16" s="4">
        <f t="shared" si="14"/>
        <v>621.52707176503054</v>
      </c>
      <c r="CN16" s="4">
        <f t="shared" si="14"/>
        <v>615.31180104738019</v>
      </c>
      <c r="CO16" s="4">
        <f t="shared" si="14"/>
        <v>609.15868303690638</v>
      </c>
      <c r="CP16" s="4">
        <f t="shared" si="14"/>
        <v>603.06709620653726</v>
      </c>
      <c r="CQ16" s="4">
        <f t="shared" si="14"/>
        <v>597.03642524447184</v>
      </c>
      <c r="CR16" s="4">
        <f t="shared" si="14"/>
        <v>591.06606099202713</v>
      </c>
      <c r="CS16" s="4">
        <f t="shared" si="14"/>
        <v>585.1554003821069</v>
      </c>
      <c r="CT16" s="4">
        <f t="shared" si="14"/>
        <v>579.30384637828581</v>
      </c>
      <c r="CU16" s="4">
        <f t="shared" si="14"/>
        <v>573.51080791450295</v>
      </c>
      <c r="CV16" s="4">
        <f t="shared" si="14"/>
        <v>567.77569983535795</v>
      </c>
      <c r="CW16" s="4">
        <f t="shared" si="14"/>
        <v>562.09794283700433</v>
      </c>
      <c r="CX16" s="4">
        <f t="shared" si="14"/>
        <v>556.47696340863433</v>
      </c>
      <c r="CY16" s="4">
        <f t="shared" si="14"/>
        <v>550.91219377454797</v>
      </c>
      <c r="CZ16" s="4">
        <f t="shared" si="14"/>
        <v>545.4030718368025</v>
      </c>
      <c r="DA16" s="4">
        <f t="shared" si="14"/>
        <v>539.94904111843448</v>
      </c>
      <c r="DB16" s="4">
        <f t="shared" si="14"/>
        <v>534.54955070725009</v>
      </c>
      <c r="DC16" s="4">
        <f t="shared" si="14"/>
        <v>529.20405520017755</v>
      </c>
      <c r="DD16" s="4">
        <f t="shared" ref="DD16:EM16" si="15">+DC16*(1+$AS$21)</f>
        <v>523.91201464817573</v>
      </c>
      <c r="DE16" s="4">
        <f t="shared" si="15"/>
        <v>518.67289450169392</v>
      </c>
      <c r="DF16" s="4">
        <f t="shared" si="15"/>
        <v>513.48616555667695</v>
      </c>
      <c r="DG16" s="4">
        <f t="shared" si="15"/>
        <v>508.35130390111016</v>
      </c>
      <c r="DH16" s="4">
        <f t="shared" si="15"/>
        <v>503.26779086209905</v>
      </c>
      <c r="DI16" s="4">
        <f t="shared" si="15"/>
        <v>498.23511295347805</v>
      </c>
      <c r="DJ16" s="4">
        <f t="shared" si="15"/>
        <v>493.25276182394327</v>
      </c>
      <c r="DK16" s="4">
        <f t="shared" si="15"/>
        <v>488.32023420570385</v>
      </c>
      <c r="DL16" s="4">
        <f t="shared" si="15"/>
        <v>483.43703186364684</v>
      </c>
      <c r="DM16" s="4">
        <f t="shared" si="15"/>
        <v>478.60266154501039</v>
      </c>
      <c r="DN16" s="4">
        <f t="shared" si="15"/>
        <v>473.81663492956028</v>
      </c>
      <c r="DO16" s="4">
        <f t="shared" si="15"/>
        <v>469.07846858026465</v>
      </c>
      <c r="DP16" s="4">
        <f t="shared" si="15"/>
        <v>464.38768389446199</v>
      </c>
      <c r="DQ16" s="4">
        <f t="shared" si="15"/>
        <v>459.74380705551738</v>
      </c>
      <c r="DR16" s="4">
        <f t="shared" si="15"/>
        <v>455.14636898496218</v>
      </c>
      <c r="DS16" s="4">
        <f t="shared" si="15"/>
        <v>450.59490529511254</v>
      </c>
      <c r="DT16" s="4">
        <f t="shared" si="15"/>
        <v>446.08895624216143</v>
      </c>
      <c r="DU16" s="4">
        <f t="shared" si="15"/>
        <v>441.62806667973979</v>
      </c>
      <c r="DV16" s="4">
        <f t="shared" si="15"/>
        <v>437.21178601294241</v>
      </c>
      <c r="DW16" s="4">
        <f t="shared" si="15"/>
        <v>432.83966815281298</v>
      </c>
      <c r="DX16" s="4">
        <f t="shared" si="15"/>
        <v>428.51127147128483</v>
      </c>
      <c r="DY16" s="4">
        <f t="shared" si="15"/>
        <v>424.22615875657198</v>
      </c>
      <c r="DZ16" s="4">
        <f t="shared" si="15"/>
        <v>419.98389716900624</v>
      </c>
      <c r="EA16" s="4">
        <f t="shared" si="15"/>
        <v>415.7840581973162</v>
      </c>
      <c r="EB16" s="4">
        <f t="shared" si="15"/>
        <v>411.62621761534302</v>
      </c>
      <c r="EC16" s="4">
        <f t="shared" si="15"/>
        <v>407.50995543918958</v>
      </c>
      <c r="ED16" s="4">
        <f t="shared" si="15"/>
        <v>403.43485588479768</v>
      </c>
      <c r="EE16" s="4">
        <f t="shared" si="15"/>
        <v>399.40050732594972</v>
      </c>
      <c r="EF16" s="4">
        <f t="shared" si="15"/>
        <v>395.40650225269025</v>
      </c>
      <c r="EG16" s="4">
        <f t="shared" si="15"/>
        <v>391.45243723016335</v>
      </c>
      <c r="EH16" s="4">
        <f t="shared" si="15"/>
        <v>387.53791285786173</v>
      </c>
      <c r="EI16" s="4">
        <f t="shared" si="15"/>
        <v>383.6625337292831</v>
      </c>
      <c r="EJ16" s="4">
        <f t="shared" si="15"/>
        <v>379.82590839199025</v>
      </c>
      <c r="EK16" s="4">
        <f t="shared" si="15"/>
        <v>376.02764930807035</v>
      </c>
      <c r="EL16" s="4">
        <f t="shared" si="15"/>
        <v>372.26737281498964</v>
      </c>
      <c r="EM16" s="4">
        <f t="shared" si="15"/>
        <v>368.54469908683973</v>
      </c>
    </row>
    <row r="17" spans="1:45" s="5" customFormat="1" x14ac:dyDescent="0.2">
      <c r="A17" s="5" t="s">
        <v>25</v>
      </c>
      <c r="B17" s="5">
        <f>+B16/B18</f>
        <v>0.13843818926355544</v>
      </c>
      <c r="C17" s="5">
        <f>+C16/C18</f>
        <v>-0.24098499612544835</v>
      </c>
      <c r="D17" s="5">
        <f>+D16/D18</f>
        <v>2.742660614563087</v>
      </c>
      <c r="E17" s="5">
        <f>+E16/E18</f>
        <v>0.7382114551347374</v>
      </c>
      <c r="F17" s="5">
        <f>+F16/F18</f>
        <v>2.5786136245331455</v>
      </c>
      <c r="G17" s="5">
        <f>+G16/G18</f>
        <v>1.9788168172361713</v>
      </c>
      <c r="H17" s="5">
        <f>+H16/H18</f>
        <v>3.0272211641591316</v>
      </c>
      <c r="I17" s="5">
        <f>+I16/I18</f>
        <v>0.64197966067512613</v>
      </c>
      <c r="J17" s="5">
        <f>+J16/J18</f>
        <v>1.6928957858449356</v>
      </c>
      <c r="K17" s="5">
        <f>+K16/K18</f>
        <v>1.9777843970550868</v>
      </c>
      <c r="L17" s="5">
        <f>+L16/L18</f>
        <v>0.35468030593238986</v>
      </c>
      <c r="M17" s="5">
        <f>+M16/M18</f>
        <v>-2.6300908839909525</v>
      </c>
      <c r="N17" s="5">
        <f>+N16/N18</f>
        <v>-0.12881611870940768</v>
      </c>
      <c r="O17" s="5">
        <f>+O16/O18</f>
        <v>0.53766727809144066</v>
      </c>
      <c r="P17" s="5">
        <f>+P16/P18</f>
        <v>1.5177899204456295</v>
      </c>
      <c r="Q17" s="5">
        <f>+Q16/Q18</f>
        <v>-2.2402803253810029</v>
      </c>
      <c r="V17" s="5">
        <f>+V16/V18</f>
        <v>3.7759984784351248</v>
      </c>
      <c r="W17" s="5">
        <f>+W16/W18</f>
        <v>2.7602807193745726</v>
      </c>
      <c r="X17" s="5">
        <f>+X16/X18</f>
        <v>3.4216225676877738</v>
      </c>
      <c r="Y17" s="5">
        <f>+Y16/Y18</f>
        <v>5.3700119376060202</v>
      </c>
      <c r="Z17" s="5">
        <f>+Z16/Z18</f>
        <v>6.6466781026156259</v>
      </c>
      <c r="AA17" s="5">
        <f>+AA16/AA18</f>
        <v>8.5755307823020424</v>
      </c>
      <c r="AB17" s="5">
        <f>+AB16/AB18</f>
        <v>9.7872429432052055</v>
      </c>
      <c r="AC17" s="5">
        <f>+AC16/AC18</f>
        <v>2.363301950118847</v>
      </c>
      <c r="AD17" s="5">
        <f>+AD16/AD18</f>
        <v>7.7924848242923854</v>
      </c>
      <c r="AE17" s="5">
        <f>+AE16/AE18</f>
        <v>1.3805248830906867</v>
      </c>
      <c r="AF17" s="5">
        <f>+AF16/AF18</f>
        <v>-0.3304413479936979</v>
      </c>
      <c r="AG17" s="5">
        <f t="shared" ref="AG17:AP17" si="16">+AG16/AG18</f>
        <v>4.6017097387849129</v>
      </c>
      <c r="AH17" s="5">
        <f t="shared" si="16"/>
        <v>4.8856553422147444</v>
      </c>
      <c r="AI17" s="5">
        <f t="shared" si="16"/>
        <v>5.1857637768835909</v>
      </c>
      <c r="AJ17" s="5">
        <f t="shared" si="16"/>
        <v>5.5037096016716767</v>
      </c>
      <c r="AK17" s="5">
        <f t="shared" si="16"/>
        <v>5.8413789716392799</v>
      </c>
      <c r="AL17" s="5">
        <f t="shared" si="16"/>
        <v>6.2009055965184938</v>
      </c>
      <c r="AM17" s="5">
        <f t="shared" si="16"/>
        <v>6.5847141962048754</v>
      </c>
      <c r="AN17" s="5">
        <f t="shared" si="16"/>
        <v>6.9955733480541564</v>
      </c>
      <c r="AO17" s="5">
        <f t="shared" si="16"/>
        <v>7.4366601882647467</v>
      </c>
      <c r="AP17" s="5">
        <f t="shared" si="16"/>
        <v>7.9116401957546776</v>
      </c>
    </row>
    <row r="18" spans="1:45" x14ac:dyDescent="0.2">
      <c r="A18" t="s">
        <v>4</v>
      </c>
      <c r="B18" s="2">
        <v>195.03288900000001</v>
      </c>
      <c r="C18" s="2">
        <v>195.03288900000001</v>
      </c>
      <c r="D18" s="2">
        <v>195.06605999999999</v>
      </c>
      <c r="E18" s="2">
        <v>195.06605999999999</v>
      </c>
      <c r="F18" s="2">
        <v>195.06605999999999</v>
      </c>
      <c r="G18" s="2">
        <v>195.06605999999999</v>
      </c>
      <c r="H18" s="2">
        <v>191.594855</v>
      </c>
      <c r="I18" s="2">
        <v>191.594855</v>
      </c>
      <c r="J18" s="2">
        <v>182.527479</v>
      </c>
      <c r="K18" s="2">
        <v>182.527479</v>
      </c>
      <c r="L18" s="2">
        <v>183.26362900000001</v>
      </c>
      <c r="M18" s="2">
        <v>183.26362900000001</v>
      </c>
      <c r="N18" s="2">
        <v>178.54908399999999</v>
      </c>
      <c r="O18" s="2">
        <v>178.54908399999999</v>
      </c>
      <c r="P18" s="2">
        <v>178.54908399999999</v>
      </c>
      <c r="Q18" s="2">
        <v>178.54908399999999</v>
      </c>
      <c r="V18" s="2">
        <v>209.21618599999999</v>
      </c>
      <c r="W18" s="2">
        <v>204.327044</v>
      </c>
      <c r="X18" s="2">
        <v>200.197417</v>
      </c>
      <c r="Y18" s="2">
        <v>201.48930999999999</v>
      </c>
      <c r="Z18" s="2">
        <v>203.861234</v>
      </c>
      <c r="AA18" s="2">
        <v>199.171345</v>
      </c>
      <c r="AB18" s="2">
        <v>195.96938700000001</v>
      </c>
      <c r="AC18" s="2">
        <v>195.06605999999999</v>
      </c>
      <c r="AD18" s="2">
        <v>191.594855</v>
      </c>
      <c r="AE18" s="2">
        <v>183.26362900000001</v>
      </c>
      <c r="AF18" s="2">
        <v>178.54908399999999</v>
      </c>
      <c r="AG18" s="2">
        <f>+AF18-5</f>
        <v>173.54908399999999</v>
      </c>
      <c r="AH18" s="2">
        <f t="shared" ref="AH18:AP18" si="17">+AG18-5</f>
        <v>168.54908399999999</v>
      </c>
      <c r="AI18" s="2">
        <f t="shared" si="17"/>
        <v>163.54908399999999</v>
      </c>
      <c r="AJ18" s="2">
        <f t="shared" si="17"/>
        <v>158.54908399999999</v>
      </c>
      <c r="AK18" s="2">
        <f t="shared" si="17"/>
        <v>153.54908399999999</v>
      </c>
      <c r="AL18" s="2">
        <f t="shared" si="17"/>
        <v>148.54908399999999</v>
      </c>
      <c r="AM18" s="2">
        <f t="shared" si="17"/>
        <v>143.54908399999999</v>
      </c>
      <c r="AN18" s="2">
        <f t="shared" si="17"/>
        <v>138.54908399999999</v>
      </c>
      <c r="AO18" s="2">
        <f t="shared" si="17"/>
        <v>133.54908399999999</v>
      </c>
      <c r="AP18" s="2">
        <f t="shared" si="17"/>
        <v>128.54908399999999</v>
      </c>
    </row>
    <row r="19" spans="1:45" x14ac:dyDescent="0.2">
      <c r="B19" s="2"/>
      <c r="C19" s="2"/>
      <c r="D19" s="2"/>
      <c r="E19" s="2"/>
      <c r="F19" s="2"/>
    </row>
    <row r="20" spans="1:45" s="6" customFormat="1" x14ac:dyDescent="0.2">
      <c r="A20" s="6" t="s">
        <v>26</v>
      </c>
      <c r="B20" s="6">
        <f>+B6/B4</f>
        <v>0.49714677014380276</v>
      </c>
      <c r="C20" s="6">
        <f>+C6/C4</f>
        <v>0.51342482100238662</v>
      </c>
      <c r="D20" s="6">
        <f>+D6/D4</f>
        <v>0.50314691602229811</v>
      </c>
      <c r="E20" s="6">
        <f>+E6/E4</f>
        <v>0.4914430182808246</v>
      </c>
      <c r="F20" s="6">
        <f>+F6/F4</f>
        <v>0.51822323462414577</v>
      </c>
      <c r="G20" s="6">
        <f>+G6/G4</f>
        <v>0.51821942091786488</v>
      </c>
      <c r="H20" s="6">
        <f>+H6/H4</f>
        <v>0.50139082058414464</v>
      </c>
      <c r="I20" s="6">
        <f>+I6/I4</f>
        <v>0.49036402569593146</v>
      </c>
      <c r="J20" s="6">
        <f>+J6/J4</f>
        <v>0.49943417578272348</v>
      </c>
      <c r="K20" s="6">
        <f>+K6/K4</f>
        <v>0.50303788420300211</v>
      </c>
      <c r="L20" s="6">
        <f>+L6/L4</f>
        <v>0.49094881398252183</v>
      </c>
      <c r="M20" s="6">
        <f>+M6/M4</f>
        <v>0.39097022094140249</v>
      </c>
      <c r="N20" s="6">
        <f>+N6/N4</f>
        <v>0.44804702313234734</v>
      </c>
      <c r="O20" s="6">
        <f>+O6/O4</f>
        <v>0.50870297585626056</v>
      </c>
      <c r="P20" s="6">
        <f>+P6/P4</f>
        <v>0.49258209701616934</v>
      </c>
      <c r="Q20" s="6">
        <f>+Q6/Q4</f>
        <v>0.44638403990024939</v>
      </c>
      <c r="V20" s="6">
        <f>+V6/V4</f>
        <v>0.49268561965222191</v>
      </c>
      <c r="W20" s="6">
        <f>+W6/W4</f>
        <v>0.47640016513003991</v>
      </c>
      <c r="X20" s="6">
        <f>+X6/X4</f>
        <v>0.48282589417676619</v>
      </c>
      <c r="Y20" s="6">
        <f>+Y6/Y4</f>
        <v>0.49234431639885301</v>
      </c>
      <c r="Z20" s="6">
        <f>+Z6/Z4</f>
        <v>0.50447733056838528</v>
      </c>
      <c r="AA20" s="6">
        <f>+AA6/AA4</f>
        <v>0.51850330823636781</v>
      </c>
      <c r="AB20" s="6">
        <f>+AB6/AB4</f>
        <v>0.52000846023688663</v>
      </c>
      <c r="AC20" s="6">
        <f>+AC6/AC4</f>
        <v>0.50024410089503657</v>
      </c>
      <c r="AD20" s="6">
        <f>+AD6/AD4</f>
        <v>0.50696995384760291</v>
      </c>
      <c r="AE20" s="6">
        <f>+AE6/AE4</f>
        <v>0.47283550264315222</v>
      </c>
      <c r="AF20" s="6">
        <f>+AF6/AF4</f>
        <v>0.47524151771129886</v>
      </c>
      <c r="AR20" s="6" t="s">
        <v>97</v>
      </c>
      <c r="AS20" s="6">
        <v>0.01</v>
      </c>
    </row>
    <row r="21" spans="1:45" s="6" customFormat="1" x14ac:dyDescent="0.2">
      <c r="A21" s="6" t="s">
        <v>96</v>
      </c>
      <c r="AA21" s="6">
        <f t="shared" ref="V21:AE21" si="18">+AA7/AA4</f>
        <v>0.13693817020305726</v>
      </c>
      <c r="AB21" s="6">
        <f t="shared" si="18"/>
        <v>0.12868020304568528</v>
      </c>
      <c r="AC21" s="6">
        <f t="shared" si="18"/>
        <v>0.12872253864930838</v>
      </c>
      <c r="AD21" s="6">
        <f t="shared" si="18"/>
        <v>0.1199491381746256</v>
      </c>
      <c r="AE21" s="6">
        <f t="shared" si="18"/>
        <v>0.12273999378081826</v>
      </c>
      <c r="AF21" s="6">
        <f>+AF7/AF4</f>
        <v>0.11798198534559201</v>
      </c>
      <c r="AR21" s="6" t="s">
        <v>98</v>
      </c>
      <c r="AS21" s="6">
        <v>-0.01</v>
      </c>
    </row>
    <row r="22" spans="1:45" s="6" customFormat="1" x14ac:dyDescent="0.2">
      <c r="A22" s="6" t="s">
        <v>95</v>
      </c>
      <c r="AA22" s="6">
        <f t="shared" ref="V22:AE22" si="19">+AA8/AA4</f>
        <v>0.27497148072096739</v>
      </c>
      <c r="AB22" s="6">
        <f t="shared" si="19"/>
        <v>0.28126057529610832</v>
      </c>
      <c r="AC22" s="6">
        <f t="shared" si="19"/>
        <v>0.33669650122050448</v>
      </c>
      <c r="AD22" s="6">
        <f t="shared" si="19"/>
        <v>0.29881322407459732</v>
      </c>
      <c r="AE22" s="6">
        <f t="shared" si="19"/>
        <v>0.33308160454888719</v>
      </c>
      <c r="AF22" s="6">
        <f>+AF8/AF4</f>
        <v>0.3519391422037616</v>
      </c>
      <c r="AR22" s="6" t="s">
        <v>99</v>
      </c>
      <c r="AS22" s="6">
        <v>7.0000000000000007E-2</v>
      </c>
    </row>
    <row r="23" spans="1:45" s="6" customFormat="1" x14ac:dyDescent="0.2">
      <c r="A23" s="6" t="s">
        <v>27</v>
      </c>
      <c r="B23" s="6">
        <f>+B11/B4</f>
        <v>1.1184661036293083E-2</v>
      </c>
      <c r="C23" s="6">
        <f>+C11/C4</f>
        <v>-7.7863961813842489E-2</v>
      </c>
      <c r="D23" s="6">
        <f>+D11/D4</f>
        <v>0.1321704729365222</v>
      </c>
      <c r="E23" s="6">
        <f>+E11/E4</f>
        <v>4.3951769739401014E-2</v>
      </c>
      <c r="F23" s="6">
        <f>+F11/F4</f>
        <v>0.13363705391040243</v>
      </c>
      <c r="G23" s="6">
        <f>+G11/G4</f>
        <v>0.10675595824305692</v>
      </c>
      <c r="H23" s="6">
        <f>+H11/H4</f>
        <v>0.13438803894297635</v>
      </c>
      <c r="I23" s="6">
        <f>+I11/I4</f>
        <v>1.284796573875803E-2</v>
      </c>
      <c r="J23" s="6">
        <f>+J11/J4</f>
        <v>8.2233119577517916E-2</v>
      </c>
      <c r="K23" s="6">
        <f>+K11/K4</f>
        <v>7.0050035739814151E-2</v>
      </c>
      <c r="L23" s="6">
        <f>+L11/L4</f>
        <v>8.8014981273408247E-2</v>
      </c>
      <c r="M23" s="6">
        <f>+M11/M4</f>
        <v>-0.13890489913544668</v>
      </c>
      <c r="N23" s="6">
        <f>+N11/N4</f>
        <v>1.1376564277588168E-2</v>
      </c>
      <c r="O23" s="6">
        <f>+O11/O4</f>
        <v>3.2753134942915964E-2</v>
      </c>
      <c r="P23" s="6">
        <f>+P11/P4</f>
        <v>6.8344724120686776E-2</v>
      </c>
      <c r="Q23" s="6">
        <f>+Q11/Q4</f>
        <v>-7.813798836242726E-2</v>
      </c>
      <c r="V23" s="6">
        <f>+V11/V4</f>
        <v>8.2942313000276019E-2</v>
      </c>
      <c r="W23" s="6">
        <f>+W11/W4</f>
        <v>6.075409384890601E-2</v>
      </c>
      <c r="X23" s="6">
        <f>+X11/X4</f>
        <v>6.2607153414129466E-2</v>
      </c>
      <c r="Y23" s="6">
        <f>+Y11/Y4</f>
        <v>8.559216577395444E-2</v>
      </c>
      <c r="Z23" s="6">
        <f>+Z11/Z4</f>
        <v>9.7558676595343577E-2</v>
      </c>
      <c r="AA23" s="6">
        <f>+AA11/AA4</f>
        <v>0.1080082135523614</v>
      </c>
      <c r="AB23" s="6">
        <f>+AB11/AB4</f>
        <v>0.11252115059221658</v>
      </c>
      <c r="AC23" s="6">
        <f>+AC11/AC4</f>
        <v>4.0412259289395173E-2</v>
      </c>
      <c r="AD23" s="6">
        <f>+AD11/AD4</f>
        <v>9.3576339832344355E-2</v>
      </c>
      <c r="AE23" s="6">
        <f>+AE11/AE4</f>
        <v>2.9674381413531164E-2</v>
      </c>
      <c r="AF23" s="6">
        <f>+AF11/AF4</f>
        <v>1.2507583889485229E-2</v>
      </c>
      <c r="AR23" s="6" t="s">
        <v>100</v>
      </c>
      <c r="AS23" s="2">
        <f>NPV(AS22,AG16:EM16)</f>
        <v>12682.407916081393</v>
      </c>
    </row>
    <row r="24" spans="1:45" s="6" customFormat="1" x14ac:dyDescent="0.2">
      <c r="A24" s="6" t="s">
        <v>28</v>
      </c>
      <c r="B24" s="6">
        <f>+B16/B4</f>
        <v>6.1629764893859846E-3</v>
      </c>
      <c r="C24" s="6">
        <f>+C16/C4</f>
        <v>-1.4021479713603818E-2</v>
      </c>
      <c r="D24" s="6">
        <f>+D16/D4</f>
        <v>9.6205718395971945E-2</v>
      </c>
      <c r="E24" s="6">
        <f>+E16/E4</f>
        <v>2.8004667444574097E-2</v>
      </c>
      <c r="F24" s="6">
        <f>+F16/F4</f>
        <v>9.5482156416097197E-2</v>
      </c>
      <c r="G24" s="6">
        <f>+G16/G4</f>
        <v>7.6029151073468582E-2</v>
      </c>
      <c r="H24" s="6">
        <f>+H16/H4</f>
        <v>0.10083449235048679</v>
      </c>
      <c r="I24" s="6">
        <f>+I16/I4</f>
        <v>2.3943936149503603E-2</v>
      </c>
      <c r="J24" s="6">
        <f>+J16/J4</f>
        <v>5.827989437947944E-2</v>
      </c>
      <c r="K24" s="6">
        <f>+K16/K4</f>
        <v>6.4510364546104357E-2</v>
      </c>
      <c r="L24" s="6">
        <f>+L16/L4</f>
        <v>1.0143570536828964E-2</v>
      </c>
      <c r="M24" s="6">
        <f>+M16/M4</f>
        <v>-9.2603266090297787E-2</v>
      </c>
      <c r="N24" s="6">
        <f>+N16/N4</f>
        <v>-4.3610163064087982E-3</v>
      </c>
      <c r="O24" s="6">
        <f>+O16/O4</f>
        <v>1.7967434025828188E-2</v>
      </c>
      <c r="P24" s="6">
        <f>+P16/P4</f>
        <v>4.5174195699283215E-2</v>
      </c>
      <c r="Q24" s="6">
        <f>+Q16/Q4</f>
        <v>-8.3125519534497094E-2</v>
      </c>
      <c r="V24" s="6">
        <f>+V16/V4</f>
        <v>5.4512834667402706E-2</v>
      </c>
      <c r="W24" s="6">
        <f>+W16/W4</f>
        <v>3.8805559378010182E-2</v>
      </c>
      <c r="X24" s="6">
        <f>+X16/X4</f>
        <v>4.0496600650310376E-2</v>
      </c>
      <c r="Y24" s="6">
        <f>+Y16/Y4</f>
        <v>5.8540280257533953E-2</v>
      </c>
      <c r="Z24" s="6">
        <f>+Z16/Z4</f>
        <v>6.3860872843811853E-2</v>
      </c>
      <c r="AA24" s="6">
        <f>+AA16/AA4</f>
        <v>7.7937485740360482E-2</v>
      </c>
      <c r="AB24" s="6">
        <f>+AB16/AB4</f>
        <v>8.1133671742808805E-2</v>
      </c>
      <c r="AC24" s="6">
        <f>+AC16/AC4</f>
        <v>2.5006780580417685E-2</v>
      </c>
      <c r="AD24" s="6">
        <f>+AD16/AD4</f>
        <v>7.0311764151831962E-2</v>
      </c>
      <c r="AE24" s="6">
        <f>+AE16/AE4</f>
        <v>1.1238949846741593E-2</v>
      </c>
      <c r="AF24" s="6">
        <f>+AF16/AF4</f>
        <v>-2.7535352592523454E-3</v>
      </c>
      <c r="AR24" s="6" t="s">
        <v>44</v>
      </c>
      <c r="AS24" s="2">
        <f>+AF31</f>
        <v>-312</v>
      </c>
    </row>
    <row r="25" spans="1:45" s="6" customFormat="1" x14ac:dyDescent="0.2">
      <c r="A25" s="6" t="s">
        <v>23</v>
      </c>
      <c r="B25" s="6">
        <f>+B15/B14</f>
        <v>-0.9285714285714286</v>
      </c>
      <c r="C25" s="6">
        <f>+C15/C14</f>
        <v>0.83793103448275863</v>
      </c>
      <c r="D25" s="6">
        <f>+D15/D14</f>
        <v>0.2335243553008596</v>
      </c>
      <c r="E25" s="6">
        <f>+E15/E14</f>
        <v>0.10559006211180125</v>
      </c>
      <c r="F25" s="6">
        <f>+F15/F14</f>
        <v>0.24813153961136025</v>
      </c>
      <c r="G25" s="6">
        <f>+G15/G14</f>
        <v>0.24165029469548133</v>
      </c>
      <c r="H25" s="6">
        <f>+H15/H14</f>
        <v>0.20547945205479451</v>
      </c>
      <c r="I25" s="6">
        <f>+I15/I14</f>
        <v>-1.7954545454545454</v>
      </c>
      <c r="J25" s="6">
        <f>+J15/J14</f>
        <v>0.24634146341463414</v>
      </c>
      <c r="K25" s="6">
        <f>+K15/K14</f>
        <v>-0.19933554817275748</v>
      </c>
      <c r="L25" s="6">
        <f>+L15/L14</f>
        <v>0.84146341463414631</v>
      </c>
      <c r="M25" s="6">
        <f>+M15/M14</f>
        <v>0.34332425068119893</v>
      </c>
      <c r="N25" s="6">
        <f>+N15/N14</f>
        <v>1.71875</v>
      </c>
      <c r="O25" s="6">
        <f>+O15/O14</f>
        <v>0.21951219512195122</v>
      </c>
      <c r="P25" s="6">
        <f>+P15/P14</f>
        <v>0.16871165644171779</v>
      </c>
      <c r="Q25" s="6">
        <f>+Q15/Q14</f>
        <v>3.3816425120772944E-2</v>
      </c>
      <c r="V25" s="6">
        <f>+V15/V14</f>
        <v>0.30335097001763667</v>
      </c>
      <c r="W25" s="6">
        <f>+W15/W14</f>
        <v>0.32455089820359284</v>
      </c>
      <c r="X25" s="6">
        <f>+X15/X14</f>
        <v>0.34007707129094411</v>
      </c>
      <c r="Y25" s="6">
        <f>+Y15/Y14</f>
        <v>0.29557291666666669</v>
      </c>
      <c r="Z25" s="6">
        <f>+Z15/Z14</f>
        <v>0.33020266930301534</v>
      </c>
      <c r="AA25" s="6">
        <f>+AA15/AA14</f>
        <v>0.28144720235591081</v>
      </c>
      <c r="AB25" s="6">
        <f>+AB15/AB14</f>
        <v>0.2501954652071931</v>
      </c>
      <c r="AC25" s="6">
        <f>+AC15/AC14</f>
        <v>0.20242214532871972</v>
      </c>
      <c r="AD25" s="6">
        <f>+AD15/AD14</f>
        <v>0.19427954668105774</v>
      </c>
      <c r="AE25" s="6">
        <f>+AE15/AE14</f>
        <v>0.34625322997416019</v>
      </c>
      <c r="AF25" s="6">
        <f>+AF15/AF14</f>
        <v>1.9076923076923078</v>
      </c>
      <c r="AR25" s="6" t="s">
        <v>101</v>
      </c>
      <c r="AS25" s="2">
        <f>+AS23-AS24</f>
        <v>12994.407916081393</v>
      </c>
    </row>
    <row r="26" spans="1:45" s="6" customFormat="1" x14ac:dyDescent="0.2">
      <c r="AR26" s="6" t="s">
        <v>102</v>
      </c>
      <c r="AS26" s="5">
        <f>+AS25/Main!K4</f>
        <v>72.77779098593075</v>
      </c>
    </row>
    <row r="27" spans="1:45" s="6" customFormat="1" x14ac:dyDescent="0.2">
      <c r="A27" s="6" t="s">
        <v>93</v>
      </c>
      <c r="AB27" s="6">
        <f t="shared" ref="V27:AE27" si="20">+AB7/AA7-1</f>
        <v>1.3662112629123646E-2</v>
      </c>
      <c r="AC27" s="6">
        <f t="shared" si="20"/>
        <v>-0.21992110453648916</v>
      </c>
      <c r="AD27" s="6">
        <f t="shared" si="20"/>
        <v>7.332490518331225E-2</v>
      </c>
      <c r="AE27" s="6">
        <f t="shared" si="20"/>
        <v>8.4805653710247286E-2</v>
      </c>
      <c r="AF27" s="6">
        <f>+AF7/AE7-1</f>
        <v>-8.5052479189287045E-2</v>
      </c>
      <c r="AR27" s="6" t="s">
        <v>103</v>
      </c>
      <c r="AS27" s="5">
        <v>224</v>
      </c>
    </row>
    <row r="28" spans="1:45" s="6" customFormat="1" x14ac:dyDescent="0.2">
      <c r="A28" s="6" t="s">
        <v>94</v>
      </c>
      <c r="AB28" s="6">
        <f t="shared" ref="V28:AE28" si="21">+AB8/AA8-1</f>
        <v>0.10338533023564556</v>
      </c>
      <c r="AC28" s="6">
        <f t="shared" si="21"/>
        <v>-6.6476161828846414E-2</v>
      </c>
      <c r="AD28" s="6">
        <f t="shared" si="21"/>
        <v>2.2232962783953703E-2</v>
      </c>
      <c r="AE28" s="6">
        <f t="shared" si="21"/>
        <v>0.18171788810086675</v>
      </c>
      <c r="AF28" s="6">
        <f>+AF8/AE8-1</f>
        <v>5.7348626300346428E-3</v>
      </c>
      <c r="AR28" s="6" t="s">
        <v>104</v>
      </c>
      <c r="AS28" s="6">
        <f>+AS26/AS27-1</f>
        <v>-0.67509914738423771</v>
      </c>
    </row>
    <row r="29" spans="1:45" s="9" customFormat="1" x14ac:dyDescent="0.2">
      <c r="A29" s="9" t="s">
        <v>29</v>
      </c>
      <c r="F29" s="9">
        <f>+F4/B4-1</f>
        <v>0.20246519059575441</v>
      </c>
      <c r="G29" s="9">
        <f>+G4/C4-1</f>
        <v>0.51461813842482096</v>
      </c>
      <c r="H29" s="9">
        <f>+H4/D4-1</f>
        <v>3.4346340586225432E-2</v>
      </c>
      <c r="I29" s="9">
        <f>+I4/E4-1</f>
        <v>-9.7238428626988949E-4</v>
      </c>
      <c r="J29" s="9">
        <f t="shared" ref="I29:L29" si="22">+J4/F4-1</f>
        <v>6.4540622627182742E-3</v>
      </c>
      <c r="K29" s="9">
        <f t="shared" si="22"/>
        <v>0.10222572385266893</v>
      </c>
      <c r="L29" s="9">
        <f t="shared" si="22"/>
        <v>0.11404728789986085</v>
      </c>
      <c r="M29" s="9">
        <f>+M4/I4-1</f>
        <v>1.3237298033871969E-2</v>
      </c>
      <c r="N29" s="9">
        <f>+N4/J4-1</f>
        <v>-5.2810260279140264E-3</v>
      </c>
      <c r="O29" s="9">
        <f>+O4/K4-1</f>
        <v>-4.5210864903502457E-2</v>
      </c>
      <c r="P29" s="9">
        <f>+P4/L4-1</f>
        <v>-6.3826466916354518E-2</v>
      </c>
      <c r="Q29" s="9">
        <f>+Q4/M4-1</f>
        <v>-7.5504322766570597E-2</v>
      </c>
      <c r="W29" s="9">
        <f t="shared" ref="W29" si="23">+W4/V4-1</f>
        <v>2.8981507038365883E-3</v>
      </c>
      <c r="X29" s="9">
        <f t="shared" ref="X29:Y29" si="24">+X4/W4-1</f>
        <v>0.16382276042383381</v>
      </c>
      <c r="Y29" s="9">
        <f t="shared" si="24"/>
        <v>9.2698788057936632E-2</v>
      </c>
      <c r="Z29" s="9">
        <f t="shared" ref="Z29:AA29" si="25">+Z4/Y4-1</f>
        <v>0.14797381377482011</v>
      </c>
      <c r="AA29" s="9">
        <f t="shared" si="25"/>
        <v>3.2849467433311297E-2</v>
      </c>
      <c r="AB29" s="9">
        <f t="shared" ref="AB29:AC29" si="26">+AB4/AA4-1</f>
        <v>7.8713210130047839E-2</v>
      </c>
      <c r="AC29" s="9">
        <f t="shared" si="26"/>
        <v>-0.22017766497461932</v>
      </c>
      <c r="AD29" s="9">
        <f t="shared" ref="AD29:AE29" si="27">+AD4/AC4-1</f>
        <v>0.15183075671277457</v>
      </c>
      <c r="AE29" s="9">
        <f t="shared" si="27"/>
        <v>6.0139399076952094E-2</v>
      </c>
      <c r="AF29" s="9">
        <f>+AF4/AE4-1</f>
        <v>-4.8154235706987736E-2</v>
      </c>
    </row>
    <row r="31" spans="1:45" x14ac:dyDescent="0.2">
      <c r="A31" s="6" t="s">
        <v>44</v>
      </c>
      <c r="J31" s="2">
        <f>+J32-J43</f>
        <v>1729</v>
      </c>
      <c r="K31" s="2">
        <f>+K32-K43</f>
        <v>232</v>
      </c>
      <c r="L31" s="2">
        <f>+L32-L43</f>
        <v>-659</v>
      </c>
      <c r="M31" s="2">
        <f>+M32-M43</f>
        <v>-1492</v>
      </c>
      <c r="N31" s="2">
        <f>+N32-N43</f>
        <v>-2393</v>
      </c>
      <c r="O31" s="2">
        <f>+O32-O43</f>
        <v>-1761</v>
      </c>
      <c r="P31" s="2">
        <f>+P32-P43</f>
        <v>-821</v>
      </c>
      <c r="Q31" s="2">
        <f>+Q32-Q43</f>
        <v>-312</v>
      </c>
      <c r="AF31" s="2">
        <f>+Q31</f>
        <v>-312</v>
      </c>
      <c r="AG31" s="2">
        <f>+AF31+AG16</f>
        <v>486.62251000000083</v>
      </c>
      <c r="AH31" s="2">
        <f t="shared" ref="AH31:AP31" si="28">+AG31+AH16</f>
        <v>1310.0952426700026</v>
      </c>
      <c r="AI31" s="2">
        <f t="shared" si="28"/>
        <v>2158.2221582196944</v>
      </c>
      <c r="AJ31" s="2">
        <f t="shared" si="28"/>
        <v>3030.8302741667435</v>
      </c>
      <c r="AK31" s="2">
        <f t="shared" si="28"/>
        <v>3927.7686645588169</v>
      </c>
      <c r="AL31" s="2">
        <f t="shared" si="28"/>
        <v>4848.9075108921124</v>
      </c>
      <c r="AM31" s="2">
        <f t="shared" si="28"/>
        <v>5794.1372021591187</v>
      </c>
      <c r="AN31" s="2">
        <f t="shared" si="28"/>
        <v>6763.3674815868353</v>
      </c>
      <c r="AO31" s="2">
        <f t="shared" si="28"/>
        <v>7756.5266377488597</v>
      </c>
      <c r="AP31" s="2">
        <f t="shared" si="28"/>
        <v>8773.5607378507048</v>
      </c>
    </row>
    <row r="32" spans="1:45" x14ac:dyDescent="0.2">
      <c r="A32" s="6" t="s">
        <v>6</v>
      </c>
      <c r="J32" s="2">
        <f>3050+1137+394+279</f>
        <v>4860</v>
      </c>
      <c r="K32" s="2">
        <f>1578+1311+298+366</f>
        <v>3553</v>
      </c>
      <c r="L32" s="2">
        <f>806+1454+302+369</f>
        <v>2931</v>
      </c>
      <c r="M32" s="2">
        <f>798+1014+301+336</f>
        <v>2449</v>
      </c>
      <c r="N32" s="2">
        <f>778+770+306+338</f>
        <v>2192</v>
      </c>
      <c r="O32" s="2">
        <f>993+795+309+345</f>
        <v>2442</v>
      </c>
      <c r="P32" s="2">
        <f>954+32+311+809+361</f>
        <v>2467</v>
      </c>
      <c r="Q32" s="2">
        <f>1431+34+755+301+418</f>
        <v>2939</v>
      </c>
    </row>
    <row r="33" spans="1:17" x14ac:dyDescent="0.2">
      <c r="A33" s="6" t="s">
        <v>45</v>
      </c>
      <c r="J33" s="2">
        <v>2819</v>
      </c>
      <c r="K33" s="2">
        <v>3022</v>
      </c>
      <c r="L33" s="2">
        <v>3240</v>
      </c>
      <c r="M33" s="2">
        <v>2529</v>
      </c>
      <c r="N33" s="2">
        <v>2818</v>
      </c>
      <c r="O33" s="2">
        <v>2567</v>
      </c>
      <c r="P33" s="2">
        <v>2721</v>
      </c>
      <c r="Q33" s="2">
        <v>1906</v>
      </c>
    </row>
    <row r="34" spans="1:17" x14ac:dyDescent="0.2">
      <c r="A34" s="6" t="s">
        <v>46</v>
      </c>
      <c r="J34" s="2">
        <v>4542</v>
      </c>
      <c r="K34" s="2">
        <v>5483</v>
      </c>
      <c r="L34" s="2">
        <v>6315</v>
      </c>
      <c r="M34" s="2">
        <v>5973</v>
      </c>
      <c r="N34" s="2">
        <v>5675</v>
      </c>
      <c r="O34" s="2">
        <v>5540</v>
      </c>
      <c r="P34" s="2">
        <v>4849</v>
      </c>
      <c r="Q34" s="2">
        <v>4525</v>
      </c>
    </row>
    <row r="35" spans="1:17" x14ac:dyDescent="0.2">
      <c r="A35" s="6" t="s">
        <v>23</v>
      </c>
      <c r="J35" s="2">
        <v>104</v>
      </c>
      <c r="K35" s="2">
        <v>100</v>
      </c>
      <c r="L35" s="2">
        <v>112</v>
      </c>
      <c r="M35" s="2">
        <v>102</v>
      </c>
      <c r="N35" s="2">
        <v>96</v>
      </c>
      <c r="O35" s="2">
        <v>122</v>
      </c>
      <c r="P35" s="2">
        <v>117</v>
      </c>
      <c r="Q35" s="2">
        <v>156</v>
      </c>
    </row>
    <row r="36" spans="1:17" x14ac:dyDescent="0.2">
      <c r="A36" s="6" t="s">
        <v>47</v>
      </c>
      <c r="J36" s="2">
        <v>1376</v>
      </c>
      <c r="K36" s="2">
        <v>1334</v>
      </c>
      <c r="L36" s="2">
        <v>1289</v>
      </c>
      <c r="M36" s="2">
        <v>1316</v>
      </c>
      <c r="N36" s="2">
        <v>1208</v>
      </c>
      <c r="O36" s="2">
        <v>1134</v>
      </c>
      <c r="P36" s="2">
        <v>1039</v>
      </c>
      <c r="Q36" s="2">
        <v>1003</v>
      </c>
    </row>
    <row r="37" spans="1:17" x14ac:dyDescent="0.2">
      <c r="A37" s="6" t="s">
        <v>48</v>
      </c>
      <c r="J37" s="2">
        <v>2245</v>
      </c>
      <c r="K37" s="2">
        <v>2346</v>
      </c>
      <c r="L37" s="2">
        <v>2347</v>
      </c>
      <c r="M37" s="2">
        <v>2279</v>
      </c>
      <c r="N37" s="2">
        <v>2201</v>
      </c>
      <c r="O37" s="2">
        <v>2148</v>
      </c>
      <c r="P37" s="2">
        <v>2139</v>
      </c>
      <c r="Q37" s="2">
        <v>2157</v>
      </c>
    </row>
    <row r="38" spans="1:17" x14ac:dyDescent="0.2">
      <c r="A38" s="6" t="s">
        <v>49</v>
      </c>
      <c r="J38" s="2">
        <v>2668</v>
      </c>
      <c r="K38" s="2">
        <v>2732</v>
      </c>
      <c r="L38" s="2">
        <v>2575</v>
      </c>
      <c r="M38" s="2">
        <v>2665</v>
      </c>
      <c r="N38" s="2">
        <v>2471</v>
      </c>
      <c r="O38" s="2">
        <v>2350</v>
      </c>
      <c r="P38" s="2">
        <v>2354</v>
      </c>
      <c r="Q38" s="2">
        <v>2247</v>
      </c>
    </row>
    <row r="39" spans="1:17" x14ac:dyDescent="0.2">
      <c r="A39" s="6" t="s">
        <v>50</v>
      </c>
      <c r="J39" s="2">
        <f>1240+366</f>
        <v>1606</v>
      </c>
      <c r="K39" s="2">
        <f>1278+418</f>
        <v>1696</v>
      </c>
      <c r="L39" s="2">
        <f>1318+450</f>
        <v>1768</v>
      </c>
      <c r="M39" s="2">
        <f>1260+429</f>
        <v>1689</v>
      </c>
      <c r="N39" s="2">
        <f>1248+432</f>
        <v>1680</v>
      </c>
      <c r="O39" s="2">
        <f>1247+436</f>
        <v>1683</v>
      </c>
      <c r="P39" s="2">
        <f>1263+435</f>
        <v>1698</v>
      </c>
      <c r="Q39" s="2">
        <f>1238+442</f>
        <v>1680</v>
      </c>
    </row>
    <row r="40" spans="1:17" x14ac:dyDescent="0.2">
      <c r="A40" s="6" t="s">
        <v>52</v>
      </c>
      <c r="J40" s="2">
        <v>1102</v>
      </c>
      <c r="K40" s="2">
        <v>974</v>
      </c>
      <c r="L40" s="2">
        <v>1055</v>
      </c>
      <c r="M40" s="2">
        <v>1216</v>
      </c>
      <c r="N40" s="2">
        <v>1265</v>
      </c>
      <c r="O40" s="2">
        <v>1290</v>
      </c>
      <c r="P40" s="2">
        <v>1272</v>
      </c>
      <c r="Q40" s="2">
        <v>1358</v>
      </c>
    </row>
    <row r="41" spans="1:17" x14ac:dyDescent="0.2">
      <c r="A41" s="6" t="s">
        <v>51</v>
      </c>
      <c r="J41" s="2">
        <v>88</v>
      </c>
      <c r="K41" s="2">
        <v>84</v>
      </c>
      <c r="L41" s="2">
        <v>117</v>
      </c>
      <c r="M41" s="2">
        <v>76</v>
      </c>
      <c r="N41" s="2">
        <v>71</v>
      </c>
      <c r="O41" s="2">
        <v>62</v>
      </c>
      <c r="P41" s="2">
        <v>65</v>
      </c>
      <c r="Q41" s="2">
        <v>49</v>
      </c>
    </row>
    <row r="42" spans="1:17" s="4" customFormat="1" x14ac:dyDescent="0.2">
      <c r="A42" s="9" t="s">
        <v>53</v>
      </c>
      <c r="B42" s="3"/>
      <c r="C42" s="3"/>
      <c r="D42" s="3"/>
      <c r="E42" s="3"/>
      <c r="F42" s="3"/>
      <c r="J42" s="4">
        <f>+SUM(J32:J41)</f>
        <v>21410</v>
      </c>
      <c r="K42" s="4">
        <f>+SUM(K32:K41)</f>
        <v>21324</v>
      </c>
      <c r="L42" s="4">
        <f>+SUM(L32:L41)</f>
        <v>21749</v>
      </c>
      <c r="M42" s="4">
        <f>+SUM(M32:M41)</f>
        <v>20294</v>
      </c>
      <c r="N42" s="4">
        <f>+SUM(N32:N41)</f>
        <v>19677</v>
      </c>
      <c r="O42" s="4">
        <f>+SUM(O32:O41)</f>
        <v>19338</v>
      </c>
      <c r="P42" s="4">
        <f>+SUM(P32:P41)</f>
        <v>18721</v>
      </c>
      <c r="Q42" s="4">
        <f>+SUM(Q32:Q41)</f>
        <v>18020</v>
      </c>
    </row>
    <row r="43" spans="1:17" x14ac:dyDescent="0.2">
      <c r="A43" s="6" t="s">
        <v>7</v>
      </c>
      <c r="J43" s="2">
        <f>39+597+2462+33</f>
        <v>3131</v>
      </c>
      <c r="K43" s="2">
        <f>313+496+2459+53</f>
        <v>3321</v>
      </c>
      <c r="L43" s="2">
        <f>1036+552+1958+44</f>
        <v>3590</v>
      </c>
      <c r="M43" s="2">
        <f>527+424+2946+44</f>
        <v>3941</v>
      </c>
      <c r="N43" s="2">
        <f>1297+325+2942+21</f>
        <v>4585</v>
      </c>
      <c r="O43" s="2">
        <f>915+337+2938+13</f>
        <v>4203</v>
      </c>
      <c r="P43" s="2">
        <f>612+219+2434+23</f>
        <v>3288</v>
      </c>
      <c r="Q43" s="2">
        <f>549+266+2430+6</f>
        <v>3251</v>
      </c>
    </row>
    <row r="44" spans="1:17" x14ac:dyDescent="0.2">
      <c r="A44" s="6" t="s">
        <v>62</v>
      </c>
      <c r="J44" s="2">
        <v>2717</v>
      </c>
      <c r="K44" s="2">
        <v>3314</v>
      </c>
      <c r="L44" s="2">
        <v>3354</v>
      </c>
      <c r="M44" s="2">
        <v>2908</v>
      </c>
      <c r="N44" s="2">
        <v>2102</v>
      </c>
      <c r="O44" s="2">
        <v>2210</v>
      </c>
      <c r="P44" s="2">
        <v>2013</v>
      </c>
      <c r="Q44" s="2">
        <v>2276</v>
      </c>
    </row>
    <row r="45" spans="1:17" x14ac:dyDescent="0.2">
      <c r="A45" t="s">
        <v>49</v>
      </c>
      <c r="J45" s="2">
        <f>589+2340</f>
        <v>2929</v>
      </c>
      <c r="K45" s="2">
        <f>608+2401</f>
        <v>3009</v>
      </c>
      <c r="L45" s="2">
        <f>605+2341</f>
        <v>2946</v>
      </c>
      <c r="M45" s="2">
        <f>643+2343</f>
        <v>2986</v>
      </c>
      <c r="N45" s="2">
        <f>596+2181</f>
        <v>2777</v>
      </c>
      <c r="O45" s="2">
        <f>572+2110</f>
        <v>2682</v>
      </c>
      <c r="P45" s="2">
        <f>559+2141</f>
        <v>2700</v>
      </c>
      <c r="Q45" s="2">
        <f>545+2039</f>
        <v>2584</v>
      </c>
    </row>
    <row r="46" spans="1:17" x14ac:dyDescent="0.2">
      <c r="A46" t="s">
        <v>23</v>
      </c>
      <c r="J46" s="2">
        <v>598</v>
      </c>
      <c r="K46" s="2">
        <v>448</v>
      </c>
      <c r="L46" s="2">
        <v>622</v>
      </c>
      <c r="M46" s="2">
        <v>302</v>
      </c>
      <c r="N46" s="2">
        <v>359</v>
      </c>
      <c r="O46" s="2">
        <v>343</v>
      </c>
      <c r="P46" s="2">
        <v>315</v>
      </c>
      <c r="Q46" s="2">
        <v>323</v>
      </c>
    </row>
    <row r="47" spans="1:17" x14ac:dyDescent="0.2">
      <c r="A47" t="s">
        <v>61</v>
      </c>
      <c r="J47" s="2">
        <f>1411+104</f>
        <v>1515</v>
      </c>
      <c r="K47" s="2">
        <f>1338+108</f>
        <v>1446</v>
      </c>
      <c r="L47" s="2">
        <f>1377+100</f>
        <v>1477</v>
      </c>
      <c r="M47" s="2">
        <f>1589+88</f>
        <v>1677</v>
      </c>
      <c r="N47" s="2">
        <f>1408+103</f>
        <v>1511</v>
      </c>
      <c r="O47" s="2">
        <f>1379+119</f>
        <v>1498</v>
      </c>
      <c r="P47" s="2">
        <f>1308+103</f>
        <v>1411</v>
      </c>
      <c r="Q47" s="2">
        <f>1323+188</f>
        <v>1511</v>
      </c>
    </row>
    <row r="48" spans="1:17" x14ac:dyDescent="0.2">
      <c r="A48" t="s">
        <v>60</v>
      </c>
      <c r="J48" s="2">
        <f>2505+7</f>
        <v>2512</v>
      </c>
      <c r="K48" s="2">
        <f>2579+8</f>
        <v>2587</v>
      </c>
      <c r="L48" s="2">
        <f>2487+7</f>
        <v>2494</v>
      </c>
      <c r="M48" s="2">
        <f>2412+7</f>
        <v>2419</v>
      </c>
      <c r="N48" s="2">
        <f>2403+7</f>
        <v>2410</v>
      </c>
      <c r="O48" s="2">
        <f>2445+4</f>
        <v>2449</v>
      </c>
      <c r="P48" s="2">
        <f>2518+4</f>
        <v>2522</v>
      </c>
      <c r="Q48" s="2">
        <v>2273</v>
      </c>
    </row>
    <row r="49" spans="1:17" x14ac:dyDescent="0.2">
      <c r="A49" t="s">
        <v>59</v>
      </c>
      <c r="J49" s="2">
        <v>568</v>
      </c>
      <c r="K49" s="2">
        <v>506</v>
      </c>
      <c r="L49" s="2">
        <v>571</v>
      </c>
      <c r="M49" s="2">
        <v>452</v>
      </c>
      <c r="N49" s="2">
        <v>465</v>
      </c>
      <c r="O49" s="2">
        <v>525</v>
      </c>
      <c r="P49" s="2">
        <v>637</v>
      </c>
      <c r="Q49" s="2">
        <v>488</v>
      </c>
    </row>
    <row r="50" spans="1:17" s="11" customFormat="1" x14ac:dyDescent="0.2">
      <c r="A50" s="10" t="s">
        <v>58</v>
      </c>
      <c r="B50" s="10"/>
      <c r="C50" s="10"/>
      <c r="D50" s="10"/>
      <c r="E50" s="10"/>
      <c r="F50" s="10"/>
      <c r="J50" s="11">
        <v>206</v>
      </c>
      <c r="K50" s="11">
        <v>108</v>
      </c>
      <c r="L50" s="11">
        <v>81</v>
      </c>
      <c r="M50" s="11">
        <v>118</v>
      </c>
      <c r="N50" s="11">
        <v>115</v>
      </c>
      <c r="O50" s="11">
        <v>121</v>
      </c>
      <c r="P50" s="11">
        <v>90</v>
      </c>
      <c r="Q50" s="11">
        <v>139</v>
      </c>
    </row>
    <row r="51" spans="1:17" x14ac:dyDescent="0.2">
      <c r="A51" t="s">
        <v>52</v>
      </c>
      <c r="J51" s="2">
        <v>259</v>
      </c>
      <c r="K51" s="2">
        <v>155</v>
      </c>
      <c r="L51" s="2">
        <v>84</v>
      </c>
      <c r="M51" s="2">
        <v>135</v>
      </c>
      <c r="N51" s="2">
        <v>136</v>
      </c>
      <c r="O51" s="2">
        <v>138</v>
      </c>
      <c r="P51" s="2">
        <v>132</v>
      </c>
      <c r="Q51" s="2">
        <v>147</v>
      </c>
    </row>
    <row r="52" spans="1:17" x14ac:dyDescent="0.2">
      <c r="A52" t="s">
        <v>57</v>
      </c>
      <c r="J52" s="2">
        <v>8</v>
      </c>
      <c r="K52" s="2">
        <v>9</v>
      </c>
      <c r="L52" s="2">
        <v>9</v>
      </c>
      <c r="M52" s="2">
        <v>6</v>
      </c>
      <c r="N52" s="2">
        <v>7</v>
      </c>
      <c r="O52" s="2">
        <v>7</v>
      </c>
      <c r="P52" s="2">
        <v>8</v>
      </c>
      <c r="Q52" s="2">
        <v>103</v>
      </c>
    </row>
    <row r="53" spans="1:17" s="4" customFormat="1" x14ac:dyDescent="0.2">
      <c r="A53" s="3" t="s">
        <v>56</v>
      </c>
      <c r="B53" s="3"/>
      <c r="C53" s="3"/>
      <c r="D53" s="3"/>
      <c r="E53" s="3"/>
      <c r="F53" s="3"/>
      <c r="J53" s="4">
        <f>+SUM(J43:J52)</f>
        <v>14443</v>
      </c>
      <c r="K53" s="4">
        <f>+SUM(K43:K52)</f>
        <v>14903</v>
      </c>
      <c r="L53" s="4">
        <f>+SUM(L43:L52)</f>
        <v>15228</v>
      </c>
      <c r="M53" s="4">
        <f>+SUM(M43:M52)</f>
        <v>14944</v>
      </c>
      <c r="N53" s="4">
        <f>+SUM(N43:N52)</f>
        <v>14467</v>
      </c>
      <c r="O53" s="4">
        <f>+SUM(O43:O52)</f>
        <v>14176</v>
      </c>
      <c r="P53" s="4">
        <f>+SUM(P43:P52)</f>
        <v>13116</v>
      </c>
      <c r="Q53" s="4">
        <f>+SUM(Q43:Q52)</f>
        <v>13095</v>
      </c>
    </row>
    <row r="54" spans="1:17" x14ac:dyDescent="0.2">
      <c r="A54" t="s">
        <v>55</v>
      </c>
      <c r="J54" s="2">
        <f>+J42-J53</f>
        <v>6967</v>
      </c>
      <c r="K54" s="2">
        <f>+K42-K53</f>
        <v>6421</v>
      </c>
      <c r="L54" s="2">
        <f>+L42-L53</f>
        <v>6521</v>
      </c>
      <c r="M54" s="2">
        <f>+M42-M53</f>
        <v>5350</v>
      </c>
      <c r="N54" s="2">
        <f>+N42-N53</f>
        <v>5210</v>
      </c>
      <c r="O54" s="2">
        <f>+O42-O53</f>
        <v>5162</v>
      </c>
      <c r="P54" s="2">
        <f>+P42-P53</f>
        <v>5605</v>
      </c>
      <c r="Q54" s="2">
        <f>+Q42-Q53</f>
        <v>4925</v>
      </c>
    </row>
    <row r="55" spans="1:17" x14ac:dyDescent="0.2">
      <c r="A55" t="s">
        <v>54</v>
      </c>
      <c r="J55" s="2">
        <f>+J54+J53</f>
        <v>21410</v>
      </c>
      <c r="K55" s="2">
        <f>+K54+K53</f>
        <v>21324</v>
      </c>
      <c r="L55" s="2">
        <f>+L54+L53</f>
        <v>21749</v>
      </c>
      <c r="M55" s="2">
        <f>+M54+M53</f>
        <v>20294</v>
      </c>
      <c r="N55" s="2">
        <f>+N54+N53</f>
        <v>19677</v>
      </c>
      <c r="O55" s="2">
        <f>+O54+O53</f>
        <v>19338</v>
      </c>
      <c r="P55" s="2">
        <f>+P54+P53</f>
        <v>18721</v>
      </c>
      <c r="Q55" s="2">
        <f>+Q54+Q53</f>
        <v>18020</v>
      </c>
    </row>
    <row r="57" spans="1:17" x14ac:dyDescent="0.2">
      <c r="A57" t="s">
        <v>63</v>
      </c>
      <c r="J57" s="2">
        <f>+J16</f>
        <v>309</v>
      </c>
      <c r="K57" s="2">
        <f>+K16</f>
        <v>361</v>
      </c>
      <c r="L57" s="2">
        <f>+L16</f>
        <v>65</v>
      </c>
      <c r="M57" s="2">
        <f>+M16</f>
        <v>-482</v>
      </c>
      <c r="N57" s="2">
        <f>+N16</f>
        <v>-23</v>
      </c>
      <c r="O57" s="2">
        <f>+O16</f>
        <v>96</v>
      </c>
      <c r="P57" s="2">
        <f>+P16</f>
        <v>271</v>
      </c>
      <c r="Q57" s="2">
        <f>+Q16</f>
        <v>-400</v>
      </c>
    </row>
    <row r="58" spans="1:17" x14ac:dyDescent="0.2">
      <c r="A58" t="s">
        <v>64</v>
      </c>
      <c r="J58" s="2">
        <v>411</v>
      </c>
      <c r="K58" s="2">
        <f>711-J58</f>
        <v>300</v>
      </c>
      <c r="L58" s="2">
        <f>1122-SUM(J58:K58)</f>
        <v>411</v>
      </c>
      <c r="M58" s="2">
        <f>388-SUM(J58:L58)</f>
        <v>-734</v>
      </c>
      <c r="N58" s="2">
        <v>32</v>
      </c>
      <c r="O58" s="2">
        <f>155-N58</f>
        <v>123</v>
      </c>
      <c r="P58" s="2">
        <f>480-SUM(N58:O58)</f>
        <v>325</v>
      </c>
      <c r="Q58" s="2">
        <f>65-SUM(N58:P58)</f>
        <v>-415</v>
      </c>
    </row>
    <row r="59" spans="1:17" x14ac:dyDescent="0.2">
      <c r="A59" t="s">
        <v>65</v>
      </c>
      <c r="J59" s="2">
        <v>367</v>
      </c>
      <c r="K59" s="2">
        <f>652-J59</f>
        <v>285</v>
      </c>
      <c r="L59" s="2">
        <f>1030-SUM(J59:K59)</f>
        <v>378</v>
      </c>
      <c r="M59" s="2">
        <f>1375-SUM(J59:L59)</f>
        <v>345</v>
      </c>
      <c r="N59" s="2">
        <v>281</v>
      </c>
      <c r="O59" s="2">
        <f>579-N59</f>
        <v>298</v>
      </c>
      <c r="P59" s="2">
        <f>902-SUM(N59:O59)</f>
        <v>323</v>
      </c>
      <c r="Q59" s="2">
        <f>1212-SUM(N59:P59)</f>
        <v>310</v>
      </c>
    </row>
    <row r="60" spans="1:17" x14ac:dyDescent="0.2">
      <c r="A60" t="s">
        <v>66</v>
      </c>
      <c r="J60" s="2">
        <v>-2</v>
      </c>
      <c r="K60" s="2">
        <f>-2-J60</f>
        <v>0</v>
      </c>
      <c r="L60" s="2">
        <f>-2-SUM(J60:K60)</f>
        <v>0</v>
      </c>
      <c r="M60" s="2">
        <f>-4-SUM(J60:L60)</f>
        <v>-2</v>
      </c>
      <c r="N60" s="2">
        <v>-5</v>
      </c>
      <c r="O60" s="2">
        <f>-7-N60</f>
        <v>-2</v>
      </c>
      <c r="P60" s="2">
        <f>-22-SUM(N60:O60)</f>
        <v>-15</v>
      </c>
      <c r="Q60" s="2">
        <f>-42-SUM(N60:P60)</f>
        <v>-20</v>
      </c>
    </row>
    <row r="61" spans="1:17" x14ac:dyDescent="0.2">
      <c r="A61" t="s">
        <v>19</v>
      </c>
      <c r="J61" s="2">
        <v>-3</v>
      </c>
      <c r="K61" s="2">
        <f>-13-J61</f>
        <v>-10</v>
      </c>
      <c r="L61" s="2">
        <f ca="1">-14-SUM(J61:L61)</f>
        <v>0</v>
      </c>
      <c r="M61" s="2">
        <f ca="1">-23-SUM(J61:L61)</f>
        <v>-10</v>
      </c>
      <c r="N61" s="2">
        <v>-4</v>
      </c>
      <c r="O61" s="2">
        <f>-9-N61</f>
        <v>-5</v>
      </c>
      <c r="P61" s="2">
        <f>-27-SUM(N61:O61)</f>
        <v>-18</v>
      </c>
      <c r="Q61" s="2">
        <f>-39-SUM(N61:P61)</f>
        <v>-12</v>
      </c>
    </row>
    <row r="62" spans="1:17" x14ac:dyDescent="0.2">
      <c r="A62" t="s">
        <v>20</v>
      </c>
      <c r="J62" s="2">
        <v>31</v>
      </c>
      <c r="K62" s="2">
        <f>65-J62</f>
        <v>34</v>
      </c>
      <c r="L62" s="2">
        <f>99-SUM(J62:K62)</f>
        <v>34</v>
      </c>
      <c r="M62" s="2">
        <f>138-SUM(J62:L62)</f>
        <v>39</v>
      </c>
      <c r="N62" s="2">
        <v>41</v>
      </c>
      <c r="O62" s="2">
        <f>82-N62</f>
        <v>41</v>
      </c>
      <c r="P62" s="2">
        <f>128-SUM(N62:O62)</f>
        <v>46</v>
      </c>
      <c r="Q62" s="2">
        <f>162-SUM(N62:P62)</f>
        <v>34</v>
      </c>
    </row>
    <row r="63" spans="1:17" x14ac:dyDescent="0.2">
      <c r="A63" t="s">
        <v>67</v>
      </c>
      <c r="J63" s="2">
        <v>-34</v>
      </c>
      <c r="K63" s="2">
        <f>41-J63</f>
        <v>75</v>
      </c>
      <c r="L63" s="2">
        <f>84-SUM(J63:K63)</f>
        <v>43</v>
      </c>
      <c r="M63" s="2">
        <f>86-SUM(J63:L63)</f>
        <v>2</v>
      </c>
      <c r="N63" s="2">
        <v>-5</v>
      </c>
      <c r="O63" s="2">
        <f>35-N63</f>
        <v>40</v>
      </c>
      <c r="P63" s="2">
        <f>102-SUM(N63:O63)</f>
        <v>67</v>
      </c>
      <c r="Q63" s="2">
        <f>144-SUM(N63:P63)</f>
        <v>42</v>
      </c>
    </row>
    <row r="64" spans="1:17" x14ac:dyDescent="0.2">
      <c r="A64" t="s">
        <v>68</v>
      </c>
      <c r="J64" s="2">
        <v>2</v>
      </c>
      <c r="K64" s="2">
        <f>4-J64</f>
        <v>2</v>
      </c>
      <c r="L64" s="2">
        <f>9-SUM(J64:K64)</f>
        <v>5</v>
      </c>
      <c r="M64" s="2">
        <f>16-SUM(J64:L64)</f>
        <v>7</v>
      </c>
      <c r="N64" s="2">
        <v>3</v>
      </c>
      <c r="O64" s="2">
        <f>5-N64</f>
        <v>2</v>
      </c>
      <c r="P64" s="2">
        <f>14-SUM(N64:O64)</f>
        <v>9</v>
      </c>
      <c r="Q64" s="2">
        <f>20-SUM(N64:P64)</f>
        <v>6</v>
      </c>
    </row>
    <row r="65" spans="1:17" x14ac:dyDescent="0.2">
      <c r="A65" t="s">
        <v>69</v>
      </c>
      <c r="J65" s="2">
        <v>-45</v>
      </c>
      <c r="K65" s="2">
        <f>-36-J65</f>
        <v>9</v>
      </c>
      <c r="L65" s="2">
        <f>-8-SUM(J65:K65)</f>
        <v>28</v>
      </c>
      <c r="M65" s="2">
        <f>-8-SUM(J65:L65)</f>
        <v>0</v>
      </c>
      <c r="N65" s="2">
        <v>0</v>
      </c>
      <c r="O65" s="2">
        <f>-3-N65</f>
        <v>-3</v>
      </c>
      <c r="P65" s="2">
        <f>-4-SUM(N65:O65)</f>
        <v>-1</v>
      </c>
      <c r="Q65" s="2">
        <f>-8-SUM(N65:P65)</f>
        <v>-4</v>
      </c>
    </row>
    <row r="66" spans="1:17" x14ac:dyDescent="0.2">
      <c r="A66" t="s">
        <v>70</v>
      </c>
      <c r="J66" s="2">
        <v>-992</v>
      </c>
      <c r="K66" s="2">
        <f>-1277-J66</f>
        <v>-285</v>
      </c>
      <c r="L66" s="2">
        <f>-1563-SUM(J66:K66)</f>
        <v>-286</v>
      </c>
      <c r="M66" s="2">
        <f>-795-SUM(J66:L66)</f>
        <v>768</v>
      </c>
      <c r="N66" s="2">
        <v>60</v>
      </c>
      <c r="O66" s="2">
        <f>178-N66</f>
        <v>118</v>
      </c>
      <c r="P66" s="2">
        <f>91-SUM(N66:O66)</f>
        <v>-87</v>
      </c>
      <c r="Q66" s="2">
        <f>995-SUM(N66:P66)</f>
        <v>904</v>
      </c>
    </row>
    <row r="67" spans="1:17" x14ac:dyDescent="0.2">
      <c r="A67" t="s">
        <v>46</v>
      </c>
      <c r="J67" s="2">
        <v>-452</v>
      </c>
      <c r="K67" s="2">
        <f>-1318-J67</f>
        <v>-866</v>
      </c>
      <c r="L67" s="2">
        <f>-2036-SUM(J67:K67)</f>
        <v>-718</v>
      </c>
      <c r="M67" s="2">
        <f>-1879-SUM(J67:L67)</f>
        <v>157</v>
      </c>
      <c r="N67" s="2">
        <v>138</v>
      </c>
      <c r="O67" s="2">
        <f>332-N67</f>
        <v>194</v>
      </c>
      <c r="P67" s="2">
        <f>1050-SUM(N67:O67)</f>
        <v>718</v>
      </c>
      <c r="Q67" s="2">
        <f>1297-SUM(N67:P67)</f>
        <v>247</v>
      </c>
    </row>
    <row r="68" spans="1:17" x14ac:dyDescent="0.2">
      <c r="A68" t="s">
        <v>62</v>
      </c>
      <c r="J68" s="2">
        <v>407</v>
      </c>
      <c r="K68" s="2">
        <f>961-J68</f>
        <v>554</v>
      </c>
      <c r="L68" s="2">
        <f>901-SUM(J68:K68)</f>
        <v>-60</v>
      </c>
      <c r="M68" s="2">
        <f>736-SUM(J68:L68)</f>
        <v>-165</v>
      </c>
      <c r="N68" s="2">
        <v>-1029</v>
      </c>
      <c r="O68" s="2">
        <f>-733-N68</f>
        <v>296</v>
      </c>
      <c r="P68" s="2">
        <f>-918-SUM(N68:O68)</f>
        <v>-185</v>
      </c>
      <c r="Q68" s="2">
        <f>-868-SUM(N68:P68)</f>
        <v>50</v>
      </c>
    </row>
    <row r="69" spans="1:17" x14ac:dyDescent="0.2">
      <c r="A69" t="s">
        <v>71</v>
      </c>
      <c r="J69" s="2">
        <f>+SUM(J66:J68)</f>
        <v>-1037</v>
      </c>
      <c r="K69" s="2">
        <f>+SUM(K66:K68)</f>
        <v>-597</v>
      </c>
      <c r="L69" s="2">
        <f>+SUM(L66:L68)</f>
        <v>-1064</v>
      </c>
      <c r="M69" s="2">
        <f>+SUM(M66:M68)</f>
        <v>760</v>
      </c>
      <c r="N69" s="2">
        <f>+SUM(N66:N68)</f>
        <v>-831</v>
      </c>
      <c r="O69" s="2">
        <f>+SUM(O66:O68)</f>
        <v>608</v>
      </c>
      <c r="P69" s="2">
        <f>+SUM(P66:P68)</f>
        <v>446</v>
      </c>
      <c r="Q69" s="2">
        <f>+SUM(Q66:Q68)</f>
        <v>1201</v>
      </c>
    </row>
    <row r="70" spans="1:17" x14ac:dyDescent="0.2">
      <c r="A70" t="s">
        <v>23</v>
      </c>
      <c r="J70" s="2">
        <v>-67</v>
      </c>
      <c r="K70" s="2">
        <f>-212-J70</f>
        <v>-145</v>
      </c>
      <c r="L70" s="2">
        <f>-330-SUM(J70:K70)</f>
        <v>-118</v>
      </c>
      <c r="M70" s="2">
        <f>-424-SUM(J70:L70)</f>
        <v>-94</v>
      </c>
      <c r="N70" s="2">
        <v>-61</v>
      </c>
      <c r="O70" s="2">
        <f>-152-N70</f>
        <v>-91</v>
      </c>
      <c r="P70" s="2">
        <f>-226-SUM(N70:O70)</f>
        <v>-74</v>
      </c>
      <c r="Q70" s="2">
        <f>-307-SUM(N70:P70)</f>
        <v>-81</v>
      </c>
    </row>
    <row r="71" spans="1:17" x14ac:dyDescent="0.2">
      <c r="A71" t="s">
        <v>80</v>
      </c>
      <c r="J71" s="2">
        <v>-60</v>
      </c>
      <c r="K71" s="2">
        <f>-40-J71</f>
        <v>20</v>
      </c>
      <c r="L71" s="2">
        <f>-58-SUM(J71:K71)</f>
        <v>-18</v>
      </c>
      <c r="M71" s="2">
        <f>-85-SUM(J71:L71)</f>
        <v>-27</v>
      </c>
      <c r="N71" s="2">
        <v>0</v>
      </c>
      <c r="O71" s="2">
        <v>0</v>
      </c>
      <c r="P71" s="2">
        <v>0</v>
      </c>
      <c r="Q71" s="2">
        <v>0</v>
      </c>
    </row>
    <row r="72" spans="1:17" s="4" customFormat="1" x14ac:dyDescent="0.2">
      <c r="A72" s="3" t="s">
        <v>72</v>
      </c>
      <c r="B72" s="3"/>
      <c r="C72" s="3"/>
      <c r="D72" s="3"/>
      <c r="E72" s="3"/>
      <c r="F72" s="3"/>
      <c r="J72" s="4">
        <f>+SUM(J58:J65)+SUM(J69:J71)</f>
        <v>-437</v>
      </c>
      <c r="K72" s="4">
        <f t="shared" ref="K72:Q72" si="29">+SUM(K58:K65)+SUM(K69:K71)</f>
        <v>-27</v>
      </c>
      <c r="L72" s="4">
        <f t="shared" ca="1" si="29"/>
        <v>-301</v>
      </c>
      <c r="M72" s="4">
        <f t="shared" ca="1" si="29"/>
        <v>286</v>
      </c>
      <c r="N72" s="4">
        <f t="shared" si="29"/>
        <v>-549</v>
      </c>
      <c r="O72" s="4">
        <f t="shared" si="29"/>
        <v>1011</v>
      </c>
      <c r="P72" s="4">
        <f t="shared" si="29"/>
        <v>1108</v>
      </c>
      <c r="Q72" s="4">
        <f t="shared" si="29"/>
        <v>1061</v>
      </c>
    </row>
    <row r="74" spans="1:17" x14ac:dyDescent="0.2">
      <c r="A74" t="s">
        <v>74</v>
      </c>
      <c r="J74" s="2">
        <v>-38</v>
      </c>
      <c r="K74" s="2">
        <f>-111+1-J74</f>
        <v>-72</v>
      </c>
      <c r="L74" s="2">
        <f>-164-SUM(J74:K74)</f>
        <v>-54</v>
      </c>
      <c r="M74" s="2">
        <f>-190-SUM(J74:L74)</f>
        <v>-26</v>
      </c>
      <c r="N74" s="2">
        <v>-31</v>
      </c>
      <c r="O74" s="2">
        <f>-64-N74</f>
        <v>-33</v>
      </c>
      <c r="P74" s="2">
        <f>-100-SUM(N74:O74)</f>
        <v>-36</v>
      </c>
      <c r="Q74" s="2">
        <f>-141+1-SUM(N74:P74)</f>
        <v>-40</v>
      </c>
    </row>
    <row r="75" spans="1:17" x14ac:dyDescent="0.2">
      <c r="A75" t="s">
        <v>73</v>
      </c>
      <c r="J75" s="2">
        <f>-82+1</f>
        <v>-81</v>
      </c>
      <c r="K75" s="2">
        <f>-204+2-J75</f>
        <v>-121</v>
      </c>
      <c r="L75" s="2">
        <f>-333+7-SUM(J75:K75)</f>
        <v>-124</v>
      </c>
      <c r="M75" s="2">
        <f>-503-SUM(J75:L75)</f>
        <v>-177</v>
      </c>
      <c r="N75" s="2">
        <f>-47+2</f>
        <v>-45</v>
      </c>
      <c r="O75" s="2">
        <f>-111+5-N75</f>
        <v>-61</v>
      </c>
      <c r="P75" s="2">
        <f>-193+2-SUM(N75:O75)</f>
        <v>-85</v>
      </c>
      <c r="Q75" s="2">
        <f>-363+10-SUM(N75:P75)</f>
        <v>-162</v>
      </c>
    </row>
    <row r="76" spans="1:17" x14ac:dyDescent="0.2">
      <c r="A76" t="s">
        <v>82</v>
      </c>
      <c r="J76" s="2">
        <v>12</v>
      </c>
      <c r="K76" s="2">
        <f>12-J76</f>
        <v>0</v>
      </c>
      <c r="L76" s="2">
        <f>12-SUM(J76:K76)</f>
        <v>0</v>
      </c>
      <c r="M76" s="2">
        <f>12-SUM(J76:L76)</f>
        <v>0</v>
      </c>
      <c r="N76" s="2">
        <v>0</v>
      </c>
      <c r="O76" s="2">
        <v>0</v>
      </c>
      <c r="P76" s="2">
        <v>0</v>
      </c>
      <c r="Q76" s="2">
        <v>0</v>
      </c>
    </row>
    <row r="77" spans="1:17" x14ac:dyDescent="0.2">
      <c r="A77" t="s">
        <v>80</v>
      </c>
      <c r="J77" s="2">
        <v>1165</v>
      </c>
      <c r="K77" s="2">
        <f>1165-J77</f>
        <v>0</v>
      </c>
      <c r="L77" s="2">
        <f>1165-SUM(J77:K77)</f>
        <v>0</v>
      </c>
      <c r="M77" s="2">
        <f>1165-SUM(J77:L77)</f>
        <v>0</v>
      </c>
      <c r="N77" s="2">
        <v>0</v>
      </c>
      <c r="O77" s="2">
        <v>0</v>
      </c>
      <c r="P77" s="2">
        <f>-19-SUM(N77:O77)</f>
        <v>-19</v>
      </c>
      <c r="Q77" s="2">
        <f>-19-SUM(N77:P77)</f>
        <v>0</v>
      </c>
    </row>
    <row r="78" spans="1:17" x14ac:dyDescent="0.2">
      <c r="A78" t="s">
        <v>81</v>
      </c>
      <c r="J78" s="2">
        <v>14</v>
      </c>
      <c r="K78" s="2">
        <f>3-J78</f>
        <v>-11</v>
      </c>
      <c r="L78" s="2">
        <f>-4-SUM(J78:K78)</f>
        <v>-7</v>
      </c>
      <c r="M78" s="2">
        <f>-13-SUM(J78:L78)</f>
        <v>-9</v>
      </c>
      <c r="N78" s="2">
        <v>60</v>
      </c>
      <c r="O78" s="2">
        <f>73-N78</f>
        <v>13</v>
      </c>
      <c r="P78" s="2">
        <f>-32+57-SUM(N78:O78)</f>
        <v>-48</v>
      </c>
      <c r="Q78" s="2">
        <f>-34+57-SUM(N78:P78)</f>
        <v>-2</v>
      </c>
    </row>
    <row r="79" spans="1:17" x14ac:dyDescent="0.2">
      <c r="A79" t="s">
        <v>85</v>
      </c>
      <c r="J79" s="2">
        <v>3</v>
      </c>
      <c r="K79" s="2">
        <f>13-J79</f>
        <v>10</v>
      </c>
      <c r="L79" s="2">
        <f>14-SUM(J79:K79)</f>
        <v>1</v>
      </c>
      <c r="M79" s="2">
        <f>23-SUM(J79:L79)</f>
        <v>9</v>
      </c>
      <c r="N79" s="2">
        <v>4</v>
      </c>
      <c r="O79" s="2">
        <f>9-N79</f>
        <v>5</v>
      </c>
      <c r="P79" s="2">
        <f>27-SUM(N79:O79)</f>
        <v>18</v>
      </c>
      <c r="Q79" s="2">
        <f>39-SUM(N79:P79)</f>
        <v>12</v>
      </c>
    </row>
    <row r="80" spans="1:17" s="4" customFormat="1" x14ac:dyDescent="0.2">
      <c r="A80" s="3" t="s">
        <v>83</v>
      </c>
      <c r="B80" s="3"/>
      <c r="C80" s="3"/>
      <c r="D80" s="3"/>
      <c r="E80" s="3"/>
      <c r="F80" s="3"/>
      <c r="J80" s="4">
        <f>SUM(J74:J79)</f>
        <v>1075</v>
      </c>
      <c r="K80" s="4">
        <f>SUM(K74:K79)</f>
        <v>-194</v>
      </c>
      <c r="L80" s="4">
        <f>SUM(L74:L79)</f>
        <v>-184</v>
      </c>
      <c r="M80" s="4">
        <f>SUM(M74:M79)</f>
        <v>-203</v>
      </c>
      <c r="N80" s="4">
        <f>SUM(N74:N79)</f>
        <v>-12</v>
      </c>
      <c r="O80" s="4">
        <f>SUM(O74:O79)</f>
        <v>-76</v>
      </c>
      <c r="P80" s="4">
        <f>SUM(P74:P79)</f>
        <v>-170</v>
      </c>
      <c r="Q80" s="4">
        <f>SUM(Q74:Q79)</f>
        <v>-192</v>
      </c>
    </row>
    <row r="82" spans="1:17" x14ac:dyDescent="0.2">
      <c r="A82" t="s">
        <v>78</v>
      </c>
      <c r="J82" s="2">
        <v>0</v>
      </c>
      <c r="K82" s="2">
        <v>0</v>
      </c>
      <c r="L82" s="2">
        <v>0</v>
      </c>
      <c r="M82" s="2">
        <f>994-SUM(J82:L82)</f>
        <v>994</v>
      </c>
      <c r="N82" s="2">
        <v>0</v>
      </c>
      <c r="O82" s="2">
        <v>0</v>
      </c>
      <c r="P82" s="2">
        <f>-500-SUM(N82:O82)</f>
        <v>-500</v>
      </c>
      <c r="Q82" s="2">
        <f>-500-SUM(N82:P82)</f>
        <v>0</v>
      </c>
    </row>
    <row r="83" spans="1:17" x14ac:dyDescent="0.2">
      <c r="A83" t="s">
        <v>84</v>
      </c>
      <c r="J83" s="2">
        <v>-27</v>
      </c>
      <c r="K83" s="2">
        <f>-64-J83</f>
        <v>-37</v>
      </c>
      <c r="L83" s="2">
        <f>-89-SUM(J83:K83)</f>
        <v>-25</v>
      </c>
      <c r="M83" s="2">
        <f>-140-SUM(J83:L83)</f>
        <v>-51</v>
      </c>
      <c r="N83" s="2">
        <v>-32</v>
      </c>
      <c r="O83" s="2">
        <f>-64-N83</f>
        <v>-32</v>
      </c>
      <c r="P83" s="2">
        <f>-103-SUM(N83:O83)</f>
        <v>-39</v>
      </c>
      <c r="Q83" s="2">
        <f>-163-SUM(N83:P83)</f>
        <v>-60</v>
      </c>
    </row>
    <row r="84" spans="1:17" x14ac:dyDescent="0.2">
      <c r="A84" t="s">
        <v>49</v>
      </c>
      <c r="J84" s="2">
        <v>-168</v>
      </c>
      <c r="K84" s="2">
        <f>-376-J84</f>
        <v>-208</v>
      </c>
      <c r="L84" s="2">
        <f>-507-SUM(J84:K84)</f>
        <v>-131</v>
      </c>
      <c r="M84" s="2">
        <f>-631-SUM(J84:L84)</f>
        <v>-124</v>
      </c>
      <c r="N84" s="2">
        <v>-170</v>
      </c>
      <c r="O84" s="2">
        <f>-321-N84</f>
        <v>-151</v>
      </c>
      <c r="P84" s="2">
        <f>-467-SUM(N84:O84)</f>
        <v>-146</v>
      </c>
      <c r="Q84" s="2">
        <f>-603-SUM(N84:P84)</f>
        <v>-136</v>
      </c>
    </row>
    <row r="85" spans="1:17" x14ac:dyDescent="0.2">
      <c r="A85" t="s">
        <v>77</v>
      </c>
      <c r="J85" s="2">
        <v>0</v>
      </c>
      <c r="K85" s="2">
        <f>-610-J85</f>
        <v>-610</v>
      </c>
      <c r="L85" s="2">
        <f>-610-SUM(J85:K85)</f>
        <v>0</v>
      </c>
      <c r="M85" s="2">
        <f>-610-22-SUM(J85:L85)</f>
        <v>-22</v>
      </c>
      <c r="N85" s="2">
        <v>0</v>
      </c>
      <c r="O85" s="2">
        <f>-126-N85</f>
        <v>-126</v>
      </c>
      <c r="P85" s="2">
        <f>-126-SUM(N85:O85)</f>
        <v>0</v>
      </c>
      <c r="Q85" s="2">
        <f>-152-33-SUM(N85:P85)</f>
        <v>-59</v>
      </c>
    </row>
    <row r="86" spans="1:17" x14ac:dyDescent="0.2">
      <c r="A86" t="s">
        <v>75</v>
      </c>
      <c r="J86" s="2">
        <v>-27</v>
      </c>
      <c r="K86" s="2">
        <f>-27-J86</f>
        <v>0</v>
      </c>
      <c r="L86" s="2">
        <f>-27-SUM(J86:K86)</f>
        <v>0</v>
      </c>
      <c r="M86" s="2">
        <f>-27-SUM(J86:L86)</f>
        <v>0</v>
      </c>
      <c r="N86" s="2">
        <v>0</v>
      </c>
      <c r="O86" s="2">
        <v>0</v>
      </c>
      <c r="P86" s="2">
        <v>0</v>
      </c>
      <c r="Q86" s="2">
        <v>0</v>
      </c>
    </row>
    <row r="87" spans="1:17" x14ac:dyDescent="0.2">
      <c r="A87" t="s">
        <v>76</v>
      </c>
      <c r="J87" s="2">
        <v>-1248</v>
      </c>
      <c r="K87" s="2">
        <f>-1953-J87</f>
        <v>-705</v>
      </c>
      <c r="L87" s="2">
        <f>-2269-SUM(J87:K87)</f>
        <v>-316</v>
      </c>
      <c r="M87" s="2">
        <f>-2500-SUM(J87:L87)</f>
        <v>-231</v>
      </c>
      <c r="N87" s="2">
        <v>0</v>
      </c>
      <c r="O87" s="2">
        <v>0</v>
      </c>
      <c r="P87" s="2">
        <v>0</v>
      </c>
      <c r="Q87" s="2">
        <v>0</v>
      </c>
    </row>
    <row r="88" spans="1:17" x14ac:dyDescent="0.2">
      <c r="A88" t="s">
        <v>86</v>
      </c>
      <c r="J88" s="2">
        <f>-4+3</f>
        <v>-1</v>
      </c>
      <c r="K88" s="2">
        <f>-15+13-J88</f>
        <v>-1</v>
      </c>
      <c r="L88" s="2">
        <f>-22+19-SUM(J88:K88)</f>
        <v>-1</v>
      </c>
      <c r="M88" s="2">
        <f>-30+25-SUM(J88:L88)</f>
        <v>-2</v>
      </c>
      <c r="N88" s="2">
        <f>-7+6</f>
        <v>-1</v>
      </c>
      <c r="O88" s="2">
        <f>-14+12-N88</f>
        <v>-1</v>
      </c>
      <c r="P88" s="2">
        <f>-3-SUM(N88:O88)</f>
        <v>-1</v>
      </c>
      <c r="Q88" s="2">
        <f>-29+25-SUM(N88:P88)</f>
        <v>-1</v>
      </c>
    </row>
    <row r="89" spans="1:17" x14ac:dyDescent="0.2">
      <c r="A89" t="s">
        <v>79</v>
      </c>
      <c r="J89" s="2">
        <v>5</v>
      </c>
      <c r="K89" s="2">
        <f>274-J89</f>
        <v>269</v>
      </c>
      <c r="L89" s="2">
        <f>496-SUM(J89:K89)</f>
        <v>222</v>
      </c>
      <c r="M89" s="2">
        <f>-18-SUM(J89:L89)</f>
        <v>-514</v>
      </c>
      <c r="N89" s="2">
        <v>764</v>
      </c>
      <c r="O89" s="2">
        <f>377-N89</f>
        <v>-387</v>
      </c>
      <c r="P89" s="2">
        <f>69-SUM(N89:O89)</f>
        <v>-308</v>
      </c>
      <c r="Q89" s="2">
        <f>3-SUM(N89:P89)</f>
        <v>-66</v>
      </c>
    </row>
    <row r="90" spans="1:17" x14ac:dyDescent="0.2">
      <c r="A90" t="s">
        <v>80</v>
      </c>
      <c r="J90" s="2">
        <v>-7</v>
      </c>
      <c r="K90" s="2">
        <f>-7-J90</f>
        <v>0</v>
      </c>
      <c r="L90" s="2">
        <f>-7-SUM(J90:K90)</f>
        <v>0</v>
      </c>
      <c r="M90" s="2">
        <f>-6-SUM(J90:L90)</f>
        <v>1</v>
      </c>
      <c r="N90" s="2">
        <v>0</v>
      </c>
      <c r="O90" s="2">
        <v>0</v>
      </c>
      <c r="P90" s="2">
        <v>0</v>
      </c>
      <c r="Q90" s="2">
        <v>0</v>
      </c>
    </row>
    <row r="91" spans="1:17" s="4" customFormat="1" x14ac:dyDescent="0.2">
      <c r="A91" s="3" t="s">
        <v>87</v>
      </c>
      <c r="B91" s="3"/>
      <c r="C91" s="3"/>
      <c r="D91" s="3"/>
      <c r="E91" s="3"/>
      <c r="F91" s="3"/>
      <c r="J91" s="4">
        <f>SUM(J82:J90)</f>
        <v>-1473</v>
      </c>
      <c r="K91" s="4">
        <f>SUM(K82:K90)</f>
        <v>-1292</v>
      </c>
      <c r="L91" s="4">
        <f>SUM(L82:L90)</f>
        <v>-251</v>
      </c>
      <c r="M91" s="4">
        <f>SUM(M82:M90)</f>
        <v>51</v>
      </c>
      <c r="N91" s="4">
        <f>SUM(N82:N90)</f>
        <v>561</v>
      </c>
      <c r="O91" s="4">
        <f>SUM(O82:O90)</f>
        <v>-697</v>
      </c>
      <c r="P91" s="4">
        <f>SUM(P82:P90)</f>
        <v>-994</v>
      </c>
      <c r="Q91" s="4">
        <f>SUM(Q82:Q90)</f>
        <v>-322</v>
      </c>
    </row>
    <row r="93" spans="1:17" x14ac:dyDescent="0.2">
      <c r="A93" t="s">
        <v>67</v>
      </c>
      <c r="J93" s="2">
        <v>54</v>
      </c>
      <c r="K93" s="2">
        <f>90-J93</f>
        <v>36</v>
      </c>
      <c r="L93" s="2">
        <f>65-SUM(J93:K93)</f>
        <v>-25</v>
      </c>
      <c r="M93" s="2">
        <f>-39-SUM(J93:L93)</f>
        <v>-104</v>
      </c>
      <c r="N93" s="2">
        <v>-18</v>
      </c>
      <c r="O93" s="2">
        <f>-40-N93</f>
        <v>-22</v>
      </c>
      <c r="P93" s="2">
        <f>-27-SUM(N93:O93)</f>
        <v>13</v>
      </c>
      <c r="Q93" s="2">
        <f>-40-SUM(N93:P93)</f>
        <v>-13</v>
      </c>
    </row>
    <row r="94" spans="1:17" x14ac:dyDescent="0.2">
      <c r="A94" t="s">
        <v>88</v>
      </c>
      <c r="J94" s="2">
        <f>+J72+J80+J91+J93</f>
        <v>-781</v>
      </c>
      <c r="K94" s="2">
        <f>+K72+K80+K91+K93</f>
        <v>-1477</v>
      </c>
      <c r="L94" s="2">
        <f ca="1">+L72+L80+L91+L93</f>
        <v>-761</v>
      </c>
      <c r="M94" s="2">
        <f ca="1">+M72+M80+M91+M93</f>
        <v>30</v>
      </c>
      <c r="N94" s="2">
        <f>+N72+N80+N91+N93</f>
        <v>-18</v>
      </c>
      <c r="O94" s="2">
        <f>+O72+O80+O91+O93</f>
        <v>216</v>
      </c>
      <c r="P94" s="2">
        <f>+P72+P80+P91+P93</f>
        <v>-43</v>
      </c>
      <c r="Q94" s="2">
        <f>+Q72+Q80+Q91+Q93</f>
        <v>534</v>
      </c>
    </row>
    <row r="95" spans="1:17" x14ac:dyDescent="0.2">
      <c r="A95" t="s">
        <v>89</v>
      </c>
      <c r="J95" s="2">
        <v>3050</v>
      </c>
      <c r="K95" s="2">
        <f>+J95+K94</f>
        <v>1573</v>
      </c>
      <c r="L95" s="2">
        <f ca="1">+K95+L94</f>
        <v>812</v>
      </c>
      <c r="M95" s="2">
        <f ca="1">+L95+M94</f>
        <v>842</v>
      </c>
      <c r="N95" s="2">
        <f t="shared" ref="N95:Q95" ca="1" si="30">+M95+N94</f>
        <v>824</v>
      </c>
      <c r="O95" s="2">
        <f t="shared" ca="1" si="30"/>
        <v>1040</v>
      </c>
      <c r="P95" s="2">
        <f t="shared" ca="1" si="30"/>
        <v>997</v>
      </c>
      <c r="Q95" s="2">
        <f t="shared" ca="1" si="30"/>
        <v>1531</v>
      </c>
    </row>
    <row r="97" spans="1:17" x14ac:dyDescent="0.2">
      <c r="A97" t="s">
        <v>90</v>
      </c>
      <c r="J97" s="2">
        <f>+J72+J75</f>
        <v>-518</v>
      </c>
      <c r="K97" s="2">
        <f>+K72+K75</f>
        <v>-148</v>
      </c>
      <c r="L97" s="2">
        <f ca="1">+L72+L75</f>
        <v>-425</v>
      </c>
      <c r="M97" s="2">
        <f ca="1">+M72+M75</f>
        <v>109</v>
      </c>
      <c r="N97" s="2">
        <f>+N72+N75</f>
        <v>-594</v>
      </c>
      <c r="O97" s="2">
        <f>+O72+O75</f>
        <v>950</v>
      </c>
      <c r="P97" s="2">
        <f>+P72+P75</f>
        <v>1023</v>
      </c>
      <c r="Q97" s="2">
        <f>+Q72+Q75</f>
        <v>899</v>
      </c>
    </row>
    <row r="98" spans="1:17" x14ac:dyDescent="0.2">
      <c r="A98" t="s">
        <v>92</v>
      </c>
      <c r="J98" s="2">
        <f>+J72+J75+J87</f>
        <v>-1766</v>
      </c>
      <c r="K98" s="2">
        <f>+K72+K75+K87</f>
        <v>-853</v>
      </c>
      <c r="L98" s="2">
        <f ca="1">+L72+L75+L87</f>
        <v>-741</v>
      </c>
      <c r="M98" s="2">
        <f ca="1">+M72+M75+M87</f>
        <v>-122</v>
      </c>
      <c r="N98" s="2">
        <f>+N72+N75+N87</f>
        <v>-594</v>
      </c>
      <c r="O98" s="2">
        <f>+O72+O75+O87</f>
        <v>950</v>
      </c>
      <c r="P98" s="2">
        <f>+P72+P75+P87</f>
        <v>1023</v>
      </c>
      <c r="Q98" s="2">
        <f>+Q72+Q75+Q87</f>
        <v>899</v>
      </c>
    </row>
    <row r="99" spans="1:17" x14ac:dyDescent="0.2">
      <c r="A99" t="s">
        <v>91</v>
      </c>
      <c r="J99" s="2">
        <f>+J72+J75+J87+J85</f>
        <v>-1766</v>
      </c>
      <c r="K99" s="2">
        <f>+K72+K75+K87+K85</f>
        <v>-1463</v>
      </c>
      <c r="L99" s="2">
        <f ca="1">+L72+L75+L87+L85</f>
        <v>-741</v>
      </c>
      <c r="M99" s="2">
        <f ca="1">+M72+M75+M87+M85</f>
        <v>-144</v>
      </c>
      <c r="N99" s="2">
        <f>+N72+N75+N87+N85</f>
        <v>-594</v>
      </c>
      <c r="O99" s="2">
        <f>+O72+O75+O87+O85</f>
        <v>824</v>
      </c>
      <c r="P99" s="2">
        <f>+P72+P75+P87+P85</f>
        <v>1023</v>
      </c>
      <c r="Q99" s="2">
        <f>+Q72+Q75+Q87+Q85</f>
        <v>840</v>
      </c>
    </row>
  </sheetData>
  <pageMargins left="0.7" right="0.7" top="0.75" bottom="0.75" header="0.3" footer="0.3"/>
  <ignoredErrors>
    <ignoredError sqref="N69 J6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2024-04-20T11:58:05Z</dcterms:created>
  <dcterms:modified xsi:type="dcterms:W3CDTF">2024-04-20T22:42:00Z</dcterms:modified>
</cp:coreProperties>
</file>