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CompanyResearchModels\Semiconductors\"/>
    </mc:Choice>
  </mc:AlternateContent>
  <xr:revisionPtr revIDLastSave="0" documentId="13_ncr:1_{EE88098E-A5FB-4014-B477-6AA2A7AD1AC9}" xr6:coauthVersionLast="47" xr6:coauthVersionMax="47" xr10:uidLastSave="{00000000-0000-0000-0000-000000000000}"/>
  <bookViews>
    <workbookView xWindow="-120" yWindow="-120" windowWidth="29040" windowHeight="15840" xr2:uid="{EB6E91C3-6923-4798-A72E-A6D97D2F4318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38" i="2" l="1"/>
  <c r="AW38" i="2"/>
  <c r="AH32" i="2"/>
  <c r="AI32" i="2" s="1"/>
  <c r="AJ32" i="2" s="1"/>
  <c r="AK32" i="2" s="1"/>
  <c r="AL32" i="2" s="1"/>
  <c r="AM32" i="2" s="1"/>
  <c r="AN32" i="2" s="1"/>
  <c r="AO32" i="2" s="1"/>
  <c r="AP32" i="2" s="1"/>
  <c r="AQ32" i="2" s="1"/>
  <c r="AR32" i="2" s="1"/>
  <c r="AS32" i="2" s="1"/>
  <c r="AT32" i="2" s="1"/>
  <c r="AU32" i="2" s="1"/>
  <c r="AG32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S32" i="2"/>
  <c r="S31" i="2"/>
  <c r="S29" i="2"/>
  <c r="S28" i="2"/>
  <c r="Q57" i="2" l="1"/>
  <c r="Q50" i="2"/>
  <c r="Q62" i="2" s="1"/>
  <c r="Q71" i="2"/>
  <c r="Q73" i="2" s="1"/>
  <c r="AF40" i="2"/>
  <c r="AF37" i="2"/>
  <c r="AF35" i="2"/>
  <c r="AF32" i="2"/>
  <c r="AF31" i="2"/>
  <c r="AF29" i="2"/>
  <c r="AF28" i="2"/>
  <c r="AG28" i="2" s="1"/>
  <c r="Q47" i="2"/>
  <c r="Q33" i="2"/>
  <c r="Q30" i="2"/>
  <c r="Q42" i="2" s="1"/>
  <c r="L6" i="1"/>
  <c r="AF33" i="2" l="1"/>
  <c r="AG30" i="2"/>
  <c r="AG29" i="2" s="1"/>
  <c r="AH28" i="2"/>
  <c r="Q49" i="2"/>
  <c r="Q34" i="2"/>
  <c r="Q36" i="2" s="1"/>
  <c r="P101" i="2"/>
  <c r="O101" i="2"/>
  <c r="N101" i="2"/>
  <c r="N90" i="2"/>
  <c r="N94" i="2" s="1"/>
  <c r="N86" i="2"/>
  <c r="N87" i="2" s="1"/>
  <c r="N105" i="2" s="1"/>
  <c r="N66" i="2"/>
  <c r="N71" i="2" s="1"/>
  <c r="N73" i="2" s="1"/>
  <c r="N50" i="2"/>
  <c r="N62" i="2" s="1"/>
  <c r="O90" i="2"/>
  <c r="O94" i="2" s="1"/>
  <c r="P22" i="2"/>
  <c r="P23" i="2"/>
  <c r="P17" i="2"/>
  <c r="P18" i="2"/>
  <c r="P12" i="2"/>
  <c r="P13" i="2"/>
  <c r="P8" i="2"/>
  <c r="P7" i="2"/>
  <c r="P90" i="2"/>
  <c r="P94" i="2" s="1"/>
  <c r="P86" i="2"/>
  <c r="P87" i="2" s="1"/>
  <c r="P105" i="2" s="1"/>
  <c r="L3" i="1"/>
  <c r="P50" i="2"/>
  <c r="P71" i="2"/>
  <c r="P73" i="2" s="1"/>
  <c r="P47" i="2"/>
  <c r="P33" i="2"/>
  <c r="P30" i="2"/>
  <c r="P42" i="2" s="1"/>
  <c r="AI28" i="2" l="1"/>
  <c r="AH30" i="2"/>
  <c r="AH29" i="2" s="1"/>
  <c r="N103" i="2"/>
  <c r="P62" i="2"/>
  <c r="L5" i="1"/>
  <c r="Q43" i="2"/>
  <c r="AF47" i="2"/>
  <c r="AF30" i="2"/>
  <c r="AF34" i="2" s="1"/>
  <c r="AF36" i="2" s="1"/>
  <c r="AF38" i="2" s="1"/>
  <c r="P103" i="2"/>
  <c r="N49" i="2"/>
  <c r="P49" i="2"/>
  <c r="AE49" i="2" s="1"/>
  <c r="P34" i="2"/>
  <c r="P36" i="2" s="1"/>
  <c r="I18" i="2"/>
  <c r="I13" i="2"/>
  <c r="I8" i="2"/>
  <c r="I23" i="2"/>
  <c r="E22" i="2"/>
  <c r="E17" i="2"/>
  <c r="E12" i="2"/>
  <c r="E7" i="2"/>
  <c r="G13" i="2"/>
  <c r="G18" i="2"/>
  <c r="G23" i="2"/>
  <c r="G8" i="2"/>
  <c r="D12" i="2"/>
  <c r="C22" i="2"/>
  <c r="C17" i="2"/>
  <c r="C12" i="2"/>
  <c r="C7" i="2"/>
  <c r="D22" i="2"/>
  <c r="D17" i="2"/>
  <c r="D7" i="2"/>
  <c r="F22" i="2"/>
  <c r="F17" i="2"/>
  <c r="F12" i="2"/>
  <c r="F7" i="2"/>
  <c r="G22" i="2"/>
  <c r="G17" i="2"/>
  <c r="G12" i="2"/>
  <c r="G7" i="2"/>
  <c r="L23" i="2"/>
  <c r="K23" i="2"/>
  <c r="L18" i="2"/>
  <c r="K18" i="2"/>
  <c r="L13" i="2"/>
  <c r="K13" i="2"/>
  <c r="L8" i="2"/>
  <c r="K8" i="2"/>
  <c r="H23" i="2"/>
  <c r="H18" i="2"/>
  <c r="H13" i="2"/>
  <c r="H8" i="2"/>
  <c r="H22" i="2"/>
  <c r="H17" i="2"/>
  <c r="H12" i="2"/>
  <c r="H7" i="2"/>
  <c r="J23" i="2"/>
  <c r="J18" i="2"/>
  <c r="J13" i="2"/>
  <c r="J8" i="2"/>
  <c r="J22" i="2"/>
  <c r="J17" i="2"/>
  <c r="J12" i="2"/>
  <c r="J7" i="2"/>
  <c r="N13" i="2"/>
  <c r="N18" i="2"/>
  <c r="N23" i="2"/>
  <c r="N8" i="2"/>
  <c r="M23" i="2"/>
  <c r="M18" i="2"/>
  <c r="M13" i="2"/>
  <c r="O13" i="2"/>
  <c r="O23" i="2"/>
  <c r="O18" i="2"/>
  <c r="M8" i="2"/>
  <c r="O8" i="2"/>
  <c r="I22" i="2"/>
  <c r="I17" i="2"/>
  <c r="I12" i="2"/>
  <c r="I7" i="2"/>
  <c r="K22" i="2"/>
  <c r="K17" i="2"/>
  <c r="K12" i="2"/>
  <c r="K7" i="2"/>
  <c r="L22" i="2"/>
  <c r="L17" i="2"/>
  <c r="L12" i="2"/>
  <c r="L7" i="2"/>
  <c r="M22" i="2"/>
  <c r="M17" i="2"/>
  <c r="M12" i="2"/>
  <c r="M7" i="2"/>
  <c r="N22" i="2"/>
  <c r="N17" i="2"/>
  <c r="N12" i="2"/>
  <c r="O7" i="2"/>
  <c r="N7" i="2"/>
  <c r="O22" i="2"/>
  <c r="O17" i="2"/>
  <c r="O12" i="2"/>
  <c r="O86" i="2"/>
  <c r="O87" i="2" s="1"/>
  <c r="O71" i="2"/>
  <c r="O73" i="2" s="1"/>
  <c r="O50" i="2"/>
  <c r="O30" i="2"/>
  <c r="O42" i="2" s="1"/>
  <c r="O47" i="2"/>
  <c r="O33" i="2"/>
  <c r="E33" i="2"/>
  <c r="E30" i="2"/>
  <c r="E42" i="2" s="1"/>
  <c r="D33" i="2"/>
  <c r="D30" i="2"/>
  <c r="C33" i="2"/>
  <c r="C30" i="2"/>
  <c r="C42" i="2" s="1"/>
  <c r="U33" i="2"/>
  <c r="U30" i="2"/>
  <c r="U42" i="2" s="1"/>
  <c r="V47" i="2"/>
  <c r="V33" i="2"/>
  <c r="V30" i="2"/>
  <c r="V42" i="2" s="1"/>
  <c r="W47" i="2"/>
  <c r="W33" i="2"/>
  <c r="W30" i="2"/>
  <c r="W42" i="2" s="1"/>
  <c r="X47" i="2"/>
  <c r="X33" i="2"/>
  <c r="X30" i="2"/>
  <c r="X42" i="2" s="1"/>
  <c r="Y47" i="2"/>
  <c r="Y33" i="2"/>
  <c r="Y30" i="2"/>
  <c r="Y42" i="2" s="1"/>
  <c r="Z47" i="2"/>
  <c r="Z33" i="2"/>
  <c r="Z30" i="2"/>
  <c r="Z42" i="2" s="1"/>
  <c r="AA30" i="2"/>
  <c r="AA47" i="2"/>
  <c r="AA33" i="2"/>
  <c r="AC47" i="2"/>
  <c r="AB47" i="2"/>
  <c r="AB33" i="2"/>
  <c r="AB30" i="2"/>
  <c r="AB42" i="2" s="1"/>
  <c r="AD47" i="2"/>
  <c r="AE47" i="2"/>
  <c r="AC33" i="2"/>
  <c r="AC30" i="2"/>
  <c r="AC42" i="2" s="1"/>
  <c r="AD33" i="2"/>
  <c r="AD30" i="2"/>
  <c r="AD42" i="2" s="1"/>
  <c r="AE33" i="2"/>
  <c r="AE30" i="2"/>
  <c r="AE42" i="2" s="1"/>
  <c r="V3" i="2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AS3" i="2" s="1"/>
  <c r="AT3" i="2" s="1"/>
  <c r="AU3" i="2" s="1"/>
  <c r="I47" i="2"/>
  <c r="I33" i="2"/>
  <c r="I30" i="2"/>
  <c r="I42" i="2" s="1"/>
  <c r="M47" i="2"/>
  <c r="M33" i="2"/>
  <c r="M30" i="2"/>
  <c r="M42" i="2" s="1"/>
  <c r="H47" i="2"/>
  <c r="H33" i="2"/>
  <c r="H30" i="2"/>
  <c r="H42" i="2" s="1"/>
  <c r="L47" i="2"/>
  <c r="L33" i="2"/>
  <c r="L30" i="2"/>
  <c r="G47" i="2"/>
  <c r="G33" i="2"/>
  <c r="G30" i="2"/>
  <c r="G42" i="2" s="1"/>
  <c r="K47" i="2"/>
  <c r="K33" i="2"/>
  <c r="K30" i="2"/>
  <c r="K42" i="2" s="1"/>
  <c r="B33" i="2"/>
  <c r="B30" i="2"/>
  <c r="B42" i="2" s="1"/>
  <c r="F47" i="2"/>
  <c r="J47" i="2"/>
  <c r="F33" i="2"/>
  <c r="F30" i="2"/>
  <c r="F42" i="2" s="1"/>
  <c r="N47" i="2"/>
  <c r="J33" i="2"/>
  <c r="J30" i="2"/>
  <c r="J42" i="2" s="1"/>
  <c r="N33" i="2"/>
  <c r="N30" i="2"/>
  <c r="N42" i="2" s="1"/>
  <c r="L4" i="1"/>
  <c r="AF49" i="2" l="1"/>
  <c r="AG35" i="2" s="1"/>
  <c r="AJ28" i="2"/>
  <c r="AI30" i="2"/>
  <c r="AI29" i="2" s="1"/>
  <c r="Q45" i="2"/>
  <c r="Q38" i="2"/>
  <c r="AG47" i="2"/>
  <c r="AG33" i="2"/>
  <c r="AF42" i="2"/>
  <c r="O105" i="2"/>
  <c r="O103" i="2"/>
  <c r="O49" i="2"/>
  <c r="P43" i="2"/>
  <c r="O34" i="2"/>
  <c r="O36" i="2" s="1"/>
  <c r="O62" i="2"/>
  <c r="L7" i="1"/>
  <c r="L8" i="1" s="1"/>
  <c r="E34" i="2"/>
  <c r="E36" i="2" s="1"/>
  <c r="D34" i="2"/>
  <c r="D42" i="2"/>
  <c r="C34" i="2"/>
  <c r="C36" i="2" s="1"/>
  <c r="N34" i="2"/>
  <c r="N36" i="2" s="1"/>
  <c r="U34" i="2"/>
  <c r="U36" i="2" s="1"/>
  <c r="V34" i="2"/>
  <c r="V36" i="2" s="1"/>
  <c r="W34" i="2"/>
  <c r="W36" i="2" s="1"/>
  <c r="X34" i="2"/>
  <c r="X36" i="2" s="1"/>
  <c r="Y34" i="2"/>
  <c r="Y36" i="2" s="1"/>
  <c r="Z34" i="2"/>
  <c r="Z36" i="2" s="1"/>
  <c r="AA34" i="2"/>
  <c r="AA42" i="2"/>
  <c r="AB34" i="2"/>
  <c r="AB36" i="2" s="1"/>
  <c r="AC34" i="2"/>
  <c r="AC36" i="2" s="1"/>
  <c r="AD34" i="2"/>
  <c r="AD36" i="2" s="1"/>
  <c r="AE34" i="2"/>
  <c r="AE36" i="2" s="1"/>
  <c r="I34" i="2"/>
  <c r="M34" i="2"/>
  <c r="M36" i="2" s="1"/>
  <c r="H34" i="2"/>
  <c r="H36" i="2" s="1"/>
  <c r="L34" i="2"/>
  <c r="L42" i="2"/>
  <c r="G34" i="2"/>
  <c r="G36" i="2" s="1"/>
  <c r="K34" i="2"/>
  <c r="K36" i="2" s="1"/>
  <c r="B34" i="2"/>
  <c r="B36" i="2" s="1"/>
  <c r="F34" i="2"/>
  <c r="F36" i="2" s="1"/>
  <c r="J34" i="2"/>
  <c r="J36" i="2" s="1"/>
  <c r="AK28" i="2" l="1"/>
  <c r="AJ30" i="2"/>
  <c r="AJ29" i="2" s="1"/>
  <c r="I43" i="2"/>
  <c r="I36" i="2"/>
  <c r="I45" i="2" s="1"/>
  <c r="L43" i="2"/>
  <c r="L36" i="2"/>
  <c r="D43" i="2"/>
  <c r="D36" i="2"/>
  <c r="D45" i="2" s="1"/>
  <c r="AA43" i="2"/>
  <c r="AA36" i="2"/>
  <c r="Q44" i="2"/>
  <c r="Q39" i="2"/>
  <c r="AF43" i="2"/>
  <c r="AG42" i="2"/>
  <c r="AG34" i="2"/>
  <c r="AH33" i="2"/>
  <c r="AH47" i="2"/>
  <c r="P45" i="2"/>
  <c r="P38" i="2"/>
  <c r="P78" i="2" s="1"/>
  <c r="N43" i="2"/>
  <c r="O43" i="2"/>
  <c r="L38" i="2"/>
  <c r="AA45" i="2"/>
  <c r="E43" i="2"/>
  <c r="C43" i="2"/>
  <c r="U43" i="2"/>
  <c r="V43" i="2"/>
  <c r="W43" i="2"/>
  <c r="X43" i="2"/>
  <c r="Y43" i="2"/>
  <c r="Z43" i="2"/>
  <c r="AB43" i="2"/>
  <c r="AC43" i="2"/>
  <c r="AD43" i="2"/>
  <c r="AE43" i="2"/>
  <c r="M43" i="2"/>
  <c r="H43" i="2"/>
  <c r="G43" i="2"/>
  <c r="K43" i="2"/>
  <c r="B43" i="2"/>
  <c r="F43" i="2"/>
  <c r="J43" i="2"/>
  <c r="N38" i="2"/>
  <c r="N78" i="2" s="1"/>
  <c r="N45" i="2"/>
  <c r="AL28" i="2" l="1"/>
  <c r="AK30" i="2"/>
  <c r="AK29" i="2"/>
  <c r="AG43" i="2"/>
  <c r="AG36" i="2"/>
  <c r="AH34" i="2"/>
  <c r="AH42" i="2"/>
  <c r="AI33" i="2"/>
  <c r="AI47" i="2"/>
  <c r="AF45" i="2"/>
  <c r="P39" i="2"/>
  <c r="P44" i="2"/>
  <c r="O45" i="2"/>
  <c r="O38" i="2"/>
  <c r="O78" i="2" s="1"/>
  <c r="L45" i="2"/>
  <c r="AA38" i="2"/>
  <c r="AA39" i="2" s="1"/>
  <c r="E45" i="2"/>
  <c r="E38" i="2"/>
  <c r="D38" i="2"/>
  <c r="D44" i="2" s="1"/>
  <c r="C38" i="2"/>
  <c r="C45" i="2"/>
  <c r="U38" i="2"/>
  <c r="U45" i="2"/>
  <c r="V38" i="2"/>
  <c r="V45" i="2"/>
  <c r="W45" i="2"/>
  <c r="W38" i="2"/>
  <c r="X38" i="2"/>
  <c r="X45" i="2"/>
  <c r="Y45" i="2"/>
  <c r="Y38" i="2"/>
  <c r="Z38" i="2"/>
  <c r="Z45" i="2"/>
  <c r="AB45" i="2"/>
  <c r="AB38" i="2"/>
  <c r="AC38" i="2"/>
  <c r="AC45" i="2"/>
  <c r="AD45" i="2"/>
  <c r="AD38" i="2"/>
  <c r="AE45" i="2"/>
  <c r="AE38" i="2"/>
  <c r="I38" i="2"/>
  <c r="I39" i="2" s="1"/>
  <c r="M38" i="2"/>
  <c r="M45" i="2"/>
  <c r="H45" i="2"/>
  <c r="H38" i="2"/>
  <c r="L44" i="2"/>
  <c r="L39" i="2"/>
  <c r="G38" i="2"/>
  <c r="G45" i="2"/>
  <c r="K38" i="2"/>
  <c r="K45" i="2"/>
  <c r="B45" i="2"/>
  <c r="B38" i="2"/>
  <c r="F38" i="2"/>
  <c r="F45" i="2"/>
  <c r="J45" i="2"/>
  <c r="J38" i="2"/>
  <c r="N39" i="2"/>
  <c r="N44" i="2"/>
  <c r="AM28" i="2" l="1"/>
  <c r="AL30" i="2"/>
  <c r="AL29" i="2"/>
  <c r="AH43" i="2"/>
  <c r="P75" i="2"/>
  <c r="P76" i="2" s="1"/>
  <c r="AI42" i="2"/>
  <c r="AI34" i="2"/>
  <c r="AJ42" i="2"/>
  <c r="AJ47" i="2"/>
  <c r="AJ33" i="2"/>
  <c r="AJ34" i="2" s="1"/>
  <c r="N75" i="2"/>
  <c r="N76" i="2" s="1"/>
  <c r="O75" i="2"/>
  <c r="O76" i="2" s="1"/>
  <c r="O44" i="2"/>
  <c r="O39" i="2"/>
  <c r="AA44" i="2"/>
  <c r="E44" i="2"/>
  <c r="E39" i="2"/>
  <c r="D39" i="2"/>
  <c r="C39" i="2"/>
  <c r="C44" i="2"/>
  <c r="U39" i="2"/>
  <c r="U44" i="2"/>
  <c r="V39" i="2"/>
  <c r="V44" i="2"/>
  <c r="W44" i="2"/>
  <c r="W39" i="2"/>
  <c r="X44" i="2"/>
  <c r="X39" i="2"/>
  <c r="Y44" i="2"/>
  <c r="Y39" i="2"/>
  <c r="Z39" i="2"/>
  <c r="Z44" i="2"/>
  <c r="AB44" i="2"/>
  <c r="AB39" i="2"/>
  <c r="AC39" i="2"/>
  <c r="AC44" i="2"/>
  <c r="AD44" i="2"/>
  <c r="AD39" i="2"/>
  <c r="AE44" i="2"/>
  <c r="AE39" i="2"/>
  <c r="I44" i="2"/>
  <c r="M39" i="2"/>
  <c r="M44" i="2"/>
  <c r="H44" i="2"/>
  <c r="H39" i="2"/>
  <c r="G39" i="2"/>
  <c r="G44" i="2"/>
  <c r="K44" i="2"/>
  <c r="K39" i="2"/>
  <c r="B44" i="2"/>
  <c r="B39" i="2"/>
  <c r="F39" i="2"/>
  <c r="F44" i="2"/>
  <c r="J39" i="2"/>
  <c r="J44" i="2"/>
  <c r="AN28" i="2" l="1"/>
  <c r="AM30" i="2"/>
  <c r="AM29" i="2"/>
  <c r="AJ43" i="2"/>
  <c r="AI43" i="2"/>
  <c r="AK33" i="2"/>
  <c r="AK47" i="2"/>
  <c r="AF44" i="2"/>
  <c r="AF39" i="2"/>
  <c r="AO28" i="2" l="1"/>
  <c r="AN30" i="2"/>
  <c r="AN29" i="2" s="1"/>
  <c r="AL47" i="2"/>
  <c r="AL42" i="2"/>
  <c r="AL33" i="2"/>
  <c r="AK42" i="2"/>
  <c r="AK34" i="2"/>
  <c r="AP28" i="2" l="1"/>
  <c r="AO30" i="2"/>
  <c r="AO29" i="2"/>
  <c r="AK43" i="2"/>
  <c r="AG37" i="2"/>
  <c r="AG45" i="2" s="1"/>
  <c r="AL34" i="2"/>
  <c r="AM42" i="2"/>
  <c r="AM47" i="2"/>
  <c r="AM33" i="2"/>
  <c r="AQ28" i="2" l="1"/>
  <c r="AP30" i="2"/>
  <c r="AP29" i="2"/>
  <c r="AM34" i="2"/>
  <c r="AL43" i="2"/>
  <c r="AM43" i="2"/>
  <c r="AN47" i="2"/>
  <c r="AN33" i="2"/>
  <c r="AG38" i="2"/>
  <c r="AR28" i="2" l="1"/>
  <c r="AQ30" i="2"/>
  <c r="AQ29" i="2" s="1"/>
  <c r="AG39" i="2"/>
  <c r="AG44" i="2"/>
  <c r="AG49" i="2"/>
  <c r="AH35" i="2" s="1"/>
  <c r="AH36" i="2" s="1"/>
  <c r="AN42" i="2"/>
  <c r="AN34" i="2"/>
  <c r="AO47" i="2"/>
  <c r="AO33" i="2"/>
  <c r="AS28" i="2" l="1"/>
  <c r="AR30" i="2"/>
  <c r="AR29" i="2"/>
  <c r="AQ42" i="2"/>
  <c r="AQ33" i="2"/>
  <c r="AQ34" i="2" s="1"/>
  <c r="AQ47" i="2"/>
  <c r="AN43" i="2"/>
  <c r="AP47" i="2"/>
  <c r="AP33" i="2"/>
  <c r="AP42" i="2"/>
  <c r="AO34" i="2"/>
  <c r="AO42" i="2"/>
  <c r="AT28" i="2" l="1"/>
  <c r="AS30" i="2"/>
  <c r="AS29" i="2" s="1"/>
  <c r="AQ43" i="2"/>
  <c r="AR42" i="2"/>
  <c r="AR47" i="2"/>
  <c r="AR33" i="2"/>
  <c r="AR34" i="2" s="1"/>
  <c r="AR43" i="2" s="1"/>
  <c r="AO43" i="2"/>
  <c r="AH37" i="2"/>
  <c r="AH45" i="2" s="1"/>
  <c r="AP34" i="2"/>
  <c r="AU28" i="2" l="1"/>
  <c r="AT30" i="2"/>
  <c r="AT29" i="2" s="1"/>
  <c r="AS47" i="2"/>
  <c r="AS33" i="2"/>
  <c r="AS42" i="2"/>
  <c r="AP43" i="2"/>
  <c r="AH38" i="2"/>
  <c r="AU30" i="2" l="1"/>
  <c r="AU29" i="2" s="1"/>
  <c r="AS34" i="2"/>
  <c r="AS43" i="2" s="1"/>
  <c r="AT42" i="2"/>
  <c r="AT47" i="2"/>
  <c r="AT33" i="2"/>
  <c r="AH39" i="2"/>
  <c r="AH44" i="2"/>
  <c r="AH49" i="2"/>
  <c r="AT34" i="2" l="1"/>
  <c r="AT43" i="2" s="1"/>
  <c r="AU47" i="2"/>
  <c r="AU33" i="2"/>
  <c r="AU42" i="2"/>
  <c r="AI35" i="2"/>
  <c r="AI36" i="2" s="1"/>
  <c r="AI37" i="2" s="1"/>
  <c r="AU34" i="2" l="1"/>
  <c r="AU43" i="2" s="1"/>
  <c r="AI38" i="2"/>
  <c r="AI45" i="2"/>
  <c r="AI39" i="2" l="1"/>
  <c r="AI44" i="2"/>
  <c r="AI49" i="2"/>
  <c r="AJ35" i="2" l="1"/>
  <c r="AJ36" i="2" s="1"/>
  <c r="AJ37" i="2" s="1"/>
  <c r="AJ45" i="2" s="1"/>
  <c r="AJ38" i="2" l="1"/>
  <c r="AJ44" i="2" l="1"/>
  <c r="AJ39" i="2"/>
  <c r="AJ49" i="2"/>
  <c r="AK35" i="2" l="1"/>
  <c r="AK36" i="2" s="1"/>
  <c r="AK37" i="2" l="1"/>
  <c r="AK45" i="2" s="1"/>
  <c r="AK38" i="2" l="1"/>
  <c r="AK44" i="2" l="1"/>
  <c r="AK39" i="2"/>
  <c r="AK49" i="2"/>
  <c r="AL35" i="2" s="1"/>
  <c r="AL36" i="2" s="1"/>
  <c r="AL37" i="2" s="1"/>
  <c r="AL45" i="2" s="1"/>
  <c r="AL38" i="2" l="1"/>
  <c r="AL44" i="2" s="1"/>
  <c r="AL49" i="2" l="1"/>
  <c r="AL39" i="2"/>
  <c r="AM35" i="2"/>
  <c r="AM36" i="2" s="1"/>
  <c r="AM37" i="2" l="1"/>
  <c r="AM45" i="2" s="1"/>
  <c r="AM38" i="2" l="1"/>
  <c r="AM44" i="2" l="1"/>
  <c r="AM49" i="2"/>
  <c r="AN35" i="2" s="1"/>
  <c r="AN36" i="2" s="1"/>
  <c r="AN37" i="2" s="1"/>
  <c r="AN45" i="2" s="1"/>
  <c r="AM39" i="2"/>
  <c r="AN38" i="2" l="1"/>
  <c r="AN44" i="2" s="1"/>
  <c r="AN39" i="2" l="1"/>
  <c r="AN49" i="2"/>
  <c r="AO35" i="2"/>
  <c r="AO36" i="2" s="1"/>
  <c r="AO37" i="2" s="1"/>
  <c r="AO38" i="2" l="1"/>
  <c r="AO45" i="2"/>
  <c r="AO44" i="2" l="1"/>
  <c r="AO39" i="2"/>
  <c r="AO49" i="2"/>
  <c r="AP35" i="2" l="1"/>
  <c r="AP36" i="2" s="1"/>
  <c r="AP37" i="2" s="1"/>
  <c r="AP45" i="2" s="1"/>
  <c r="AP38" i="2" l="1"/>
  <c r="AP39" i="2" l="1"/>
  <c r="AP49" i="2"/>
  <c r="AP44" i="2"/>
  <c r="AQ35" i="2" l="1"/>
  <c r="AQ36" i="2" s="1"/>
  <c r="AQ37" i="2" s="1"/>
  <c r="AQ38" i="2" l="1"/>
  <c r="AQ45" i="2"/>
  <c r="AQ39" i="2" l="1"/>
  <c r="AQ44" i="2"/>
  <c r="AQ49" i="2"/>
  <c r="AR35" i="2" l="1"/>
  <c r="AR36" i="2" s="1"/>
  <c r="AR37" i="2" l="1"/>
  <c r="AR45" i="2" s="1"/>
  <c r="AR38" i="2" l="1"/>
  <c r="AR39" i="2" s="1"/>
  <c r="AR44" i="2"/>
  <c r="AR49" i="2" l="1"/>
  <c r="AS35" i="2" s="1"/>
  <c r="AS36" i="2" s="1"/>
  <c r="AS37" i="2" l="1"/>
  <c r="AS45" i="2" s="1"/>
  <c r="AS38" i="2" l="1"/>
  <c r="AS39" i="2" s="1"/>
  <c r="AS44" i="2" l="1"/>
  <c r="AS49" i="2"/>
  <c r="AT35" i="2"/>
  <c r="AT36" i="2" s="1"/>
  <c r="AT37" i="2" l="1"/>
  <c r="AT45" i="2" s="1"/>
  <c r="AT38" i="2" l="1"/>
  <c r="AT44" i="2" l="1"/>
  <c r="AT39" i="2"/>
  <c r="AT49" i="2"/>
  <c r="AU35" i="2" l="1"/>
  <c r="AU36" i="2" s="1"/>
  <c r="AU37" i="2" l="1"/>
  <c r="AU45" i="2" s="1"/>
  <c r="AU38" i="2"/>
  <c r="AU39" i="2" l="1"/>
  <c r="AU44" i="2"/>
  <c r="AX38" i="2"/>
  <c r="AY38" i="2" s="1"/>
  <c r="AZ38" i="2" s="1"/>
  <c r="BA38" i="2" s="1"/>
  <c r="BB38" i="2" s="1"/>
  <c r="BC38" i="2" s="1"/>
  <c r="BD38" i="2" s="1"/>
  <c r="BE38" i="2" s="1"/>
  <c r="BF38" i="2" s="1"/>
  <c r="BG38" i="2" s="1"/>
  <c r="BH38" i="2" s="1"/>
  <c r="BI38" i="2" s="1"/>
  <c r="BJ38" i="2" s="1"/>
  <c r="BK38" i="2" s="1"/>
  <c r="BL38" i="2" s="1"/>
  <c r="BM38" i="2" s="1"/>
  <c r="BN38" i="2" s="1"/>
  <c r="BO38" i="2" s="1"/>
  <c r="BP38" i="2" s="1"/>
  <c r="BQ38" i="2" s="1"/>
  <c r="BR38" i="2" s="1"/>
  <c r="BS38" i="2" s="1"/>
  <c r="BT38" i="2" s="1"/>
  <c r="BU38" i="2" s="1"/>
  <c r="BV38" i="2" s="1"/>
  <c r="BW38" i="2" s="1"/>
  <c r="BX38" i="2" s="1"/>
  <c r="BY38" i="2" s="1"/>
  <c r="BZ38" i="2" s="1"/>
  <c r="CA38" i="2" s="1"/>
  <c r="CB38" i="2" s="1"/>
  <c r="CC38" i="2" s="1"/>
  <c r="CD38" i="2" s="1"/>
  <c r="CE38" i="2" s="1"/>
  <c r="CF38" i="2" s="1"/>
  <c r="CG38" i="2" s="1"/>
  <c r="CH38" i="2" s="1"/>
  <c r="CI38" i="2" s="1"/>
  <c r="CJ38" i="2" s="1"/>
  <c r="CK38" i="2" s="1"/>
  <c r="CL38" i="2" s="1"/>
  <c r="CM38" i="2" s="1"/>
  <c r="CN38" i="2" s="1"/>
  <c r="CO38" i="2" s="1"/>
  <c r="CP38" i="2" s="1"/>
  <c r="CQ38" i="2" s="1"/>
  <c r="CR38" i="2" s="1"/>
  <c r="CS38" i="2" s="1"/>
  <c r="CT38" i="2" s="1"/>
  <c r="CU38" i="2" s="1"/>
  <c r="CV38" i="2" s="1"/>
  <c r="CW38" i="2" s="1"/>
  <c r="CX38" i="2" s="1"/>
  <c r="CY38" i="2" s="1"/>
  <c r="CZ38" i="2" s="1"/>
  <c r="DA38" i="2" s="1"/>
  <c r="DB38" i="2" s="1"/>
  <c r="DC38" i="2" s="1"/>
  <c r="DD38" i="2" s="1"/>
  <c r="DE38" i="2" s="1"/>
  <c r="DF38" i="2" s="1"/>
  <c r="DG38" i="2" s="1"/>
  <c r="DH38" i="2" s="1"/>
  <c r="DI38" i="2" s="1"/>
  <c r="DJ38" i="2" s="1"/>
  <c r="DK38" i="2" s="1"/>
  <c r="DL38" i="2" s="1"/>
  <c r="DM38" i="2" s="1"/>
  <c r="DN38" i="2" s="1"/>
  <c r="DO38" i="2" s="1"/>
  <c r="DP38" i="2" s="1"/>
  <c r="DQ38" i="2" s="1"/>
  <c r="DR38" i="2" s="1"/>
  <c r="DS38" i="2" s="1"/>
  <c r="DT38" i="2" s="1"/>
  <c r="DU38" i="2" s="1"/>
  <c r="DV38" i="2" s="1"/>
  <c r="DW38" i="2" s="1"/>
  <c r="DX38" i="2" s="1"/>
  <c r="DY38" i="2" s="1"/>
  <c r="DZ38" i="2" s="1"/>
  <c r="EA38" i="2" s="1"/>
  <c r="EB38" i="2" s="1"/>
  <c r="EC38" i="2" s="1"/>
  <c r="ED38" i="2" s="1"/>
  <c r="EE38" i="2" s="1"/>
  <c r="EF38" i="2" s="1"/>
  <c r="EG38" i="2" s="1"/>
  <c r="EH38" i="2" s="1"/>
  <c r="EI38" i="2" s="1"/>
  <c r="EJ38" i="2" s="1"/>
  <c r="EK38" i="2" s="1"/>
  <c r="EL38" i="2" s="1"/>
  <c r="EM38" i="2" s="1"/>
  <c r="AX31" i="2" s="1"/>
  <c r="AU49" i="2"/>
  <c r="AX33" i="2" l="1"/>
  <c r="AX35" i="2" s="1"/>
  <c r="AX3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Dennis Hesselberth</author>
  </authors>
  <commentList>
    <comment ref="P28" authorId="0" shapeId="0" xr:uid="{19BA7193-7E97-478A-895E-BA0164A5EAC7}">
      <text>
        <r>
          <rPr>
            <b/>
            <sz val="9"/>
            <color indexed="81"/>
            <rFont val="Tahoma"/>
            <family val="2"/>
          </rPr>
          <t>Dennis Hesselberth:</t>
        </r>
        <r>
          <rPr>
            <sz val="9"/>
            <color indexed="81"/>
            <rFont val="Tahoma"/>
            <family val="2"/>
          </rPr>
          <t xml:space="preserve">
Guidance:
Revenue 6.7B plus or minus 300M</t>
        </r>
      </text>
    </comment>
    <comment ref="Q28" authorId="0" shapeId="0" xr:uid="{32B56061-6489-451C-A62F-129D4CBC2C01}">
      <text>
        <r>
          <rPr>
            <b/>
            <sz val="9"/>
            <color indexed="81"/>
            <rFont val="Tahoma"/>
            <charset val="1"/>
          </rPr>
          <t>Dennis Hesselberth:</t>
        </r>
        <r>
          <rPr>
            <sz val="9"/>
            <color indexed="81"/>
            <rFont val="Tahoma"/>
            <charset val="1"/>
          </rPr>
          <t xml:space="preserve">
Outlook
$7.2B - $7.8B</t>
        </r>
      </text>
    </comment>
  </commentList>
</comments>
</file>

<file path=xl/sharedStrings.xml><?xml version="1.0" encoding="utf-8"?>
<sst xmlns="http://schemas.openxmlformats.org/spreadsheetml/2006/main" count="218" uniqueCount="187">
  <si>
    <t>AMD</t>
  </si>
  <si>
    <t>(in millions)</t>
  </si>
  <si>
    <t>Advanced Micro Devices</t>
  </si>
  <si>
    <t>Price</t>
  </si>
  <si>
    <t>Shares</t>
  </si>
  <si>
    <t>MC</t>
  </si>
  <si>
    <t>Cash</t>
  </si>
  <si>
    <t>Debt</t>
  </si>
  <si>
    <t>EV</t>
  </si>
  <si>
    <t>Revenue</t>
  </si>
  <si>
    <t>COGS</t>
  </si>
  <si>
    <t>Gross profit</t>
  </si>
  <si>
    <t>R&amp;D</t>
  </si>
  <si>
    <t>Operating expense</t>
  </si>
  <si>
    <t>Operating income</t>
  </si>
  <si>
    <t>Interest expense</t>
  </si>
  <si>
    <t>Pretax</t>
  </si>
  <si>
    <t>Taxes</t>
  </si>
  <si>
    <t>Net income</t>
  </si>
  <si>
    <t>EPS</t>
  </si>
  <si>
    <t>Gross margin</t>
  </si>
  <si>
    <t>Operating margin</t>
  </si>
  <si>
    <t>Net margin</t>
  </si>
  <si>
    <t>Tax rate</t>
  </si>
  <si>
    <t>Revenue y/y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</si>
  <si>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</si>
  <si>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</si>
  <si>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</si>
  <si>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</si>
  <si>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</si>
  <si>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</si>
  <si>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</si>
  <si>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</si>
  <si>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</si>
  <si>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</si>
  <si>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</si>
  <si>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</si>
  <si>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</si>
  <si>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</si>
  <si>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Data Center</t>
  </si>
  <si>
    <t>4th Gen AMD EPYC CPU</t>
  </si>
  <si>
    <t>AMD Instinct Data Center Chip GPU</t>
  </si>
  <si>
    <t>Data Center Segment</t>
  </si>
  <si>
    <t>Client Segment</t>
  </si>
  <si>
    <t>AMD Ryzen processors</t>
  </si>
  <si>
    <t>50 TOPs</t>
  </si>
  <si>
    <t>OEMs</t>
  </si>
  <si>
    <t>GPT workloads</t>
  </si>
  <si>
    <t>HPC workloads</t>
  </si>
  <si>
    <t>Expansion of AI Solutions Portfolio</t>
  </si>
  <si>
    <r>
      <t>1. New AMD Instinct MI325X Accelerator</t>
    </r>
    <r>
      <rPr>
        <sz val="10"/>
        <color theme="1"/>
        <rFont val="arial"/>
        <family val="2"/>
      </rPr>
      <t>:</t>
    </r>
  </si>
  <si>
    <t>Unveiled at Computex 2024.</t>
  </si>
  <si>
    <t>Planned availability: Q4 2024.</t>
  </si>
  <si>
    <t>Leadership in memory capacity and compute performance.</t>
  </si>
  <si>
    <r>
      <t xml:space="preserve">Upcoming AMD CDNA™ 4 architecture (2025) promises up to a </t>
    </r>
    <r>
      <rPr>
        <b/>
        <sz val="10"/>
        <color theme="1"/>
        <rFont val="Arial"/>
        <family val="2"/>
      </rPr>
      <t>35x increase in AI inference performance</t>
    </r>
    <r>
      <rPr>
        <sz val="10"/>
        <color theme="1"/>
        <rFont val="arial"/>
        <family val="2"/>
      </rPr>
      <t>.</t>
    </r>
  </si>
  <si>
    <r>
      <t>2. AMD Ryzen AI 300 Series Processors</t>
    </r>
    <r>
      <rPr>
        <sz val="10"/>
        <color theme="1"/>
        <rFont val="arial"/>
        <family val="2"/>
      </rPr>
      <t>:</t>
    </r>
  </si>
  <si>
    <r>
      <t xml:space="preserve">Third generation for AI PCs, delivering </t>
    </r>
    <r>
      <rPr>
        <b/>
        <sz val="10"/>
        <color theme="1"/>
        <rFont val="Arial"/>
        <family val="2"/>
      </rPr>
      <t>50 TOPs of AI processing</t>
    </r>
    <r>
      <rPr>
        <sz val="10"/>
        <color theme="1"/>
        <rFont val="arial"/>
        <family val="2"/>
      </rPr>
      <t xml:space="preserve"> for Windows Copilot+ PCs.</t>
    </r>
  </si>
  <si>
    <t>New devices announced by major OEMs like Acer, ASUS, HP, Lenovo, and MSI.</t>
  </si>
  <si>
    <r>
      <t>3. Ultra Accelerator Link Promoter Group</t>
    </r>
    <r>
      <rPr>
        <sz val="10"/>
        <color theme="1"/>
        <rFont val="arial"/>
        <family val="2"/>
      </rPr>
      <t>:</t>
    </r>
  </si>
  <si>
    <r>
      <t xml:space="preserve">Collaborative effort with industry leaders to advance open standards for </t>
    </r>
    <r>
      <rPr>
        <b/>
        <sz val="10"/>
        <color theme="1"/>
        <rFont val="Arial"/>
        <family val="2"/>
      </rPr>
      <t>AI networking infrastructure</t>
    </r>
    <r>
      <rPr>
        <sz val="10"/>
        <color theme="1"/>
        <rFont val="arial"/>
        <family val="2"/>
      </rPr>
      <t xml:space="preserve"> using AMD Infinity Fabric™ technology.</t>
    </r>
  </si>
  <si>
    <r>
      <t>4. New Cloud Offerings</t>
    </r>
    <r>
      <rPr>
        <sz val="10"/>
        <color theme="1"/>
        <rFont val="arial"/>
        <family val="2"/>
      </rPr>
      <t>:</t>
    </r>
  </si>
  <si>
    <r>
      <t xml:space="preserve">Microsoft launched </t>
    </r>
    <r>
      <rPr>
        <b/>
        <sz val="10"/>
        <color theme="1"/>
        <rFont val="Arial"/>
        <family val="2"/>
      </rPr>
      <t>Azure ND MI300X V5 instances</t>
    </r>
    <r>
      <rPr>
        <sz val="10"/>
        <color theme="1"/>
        <rFont val="arial"/>
        <family val="2"/>
      </rPr>
      <t xml:space="preserve"> using AMD Instinct MI300X accelerators for </t>
    </r>
    <r>
      <rPr>
        <b/>
        <sz val="10"/>
        <color theme="1"/>
        <rFont val="Arial"/>
        <family val="2"/>
      </rPr>
      <t>price/performance advantages in GPT workloads</t>
    </r>
    <r>
      <rPr>
        <sz val="10"/>
        <color theme="1"/>
        <rFont val="arial"/>
        <family val="2"/>
      </rPr>
      <t>.</t>
    </r>
  </si>
  <si>
    <r>
      <t>5. Radeon™ PRO W7900 Dual Slot GPU</t>
    </r>
    <r>
      <rPr>
        <sz val="10"/>
        <color theme="1"/>
        <rFont val="arial"/>
        <family val="2"/>
      </rPr>
      <t>:</t>
    </r>
  </si>
  <si>
    <r>
      <t xml:space="preserve">Launched for </t>
    </r>
    <r>
      <rPr>
        <b/>
        <sz val="10"/>
        <color theme="1"/>
        <rFont val="Arial"/>
        <family val="2"/>
      </rPr>
      <t>high-performance AI workstations</t>
    </r>
    <r>
      <rPr>
        <sz val="10"/>
        <color theme="1"/>
        <rFont val="arial"/>
        <family val="2"/>
      </rPr>
      <t>.</t>
    </r>
  </si>
  <si>
    <t>Expanded ROCm™ 6.1.3 software support for enhanced AI development on select AMD Radeon GPUs.</t>
  </si>
  <si>
    <t>Leadership in Enterprise and HPC</t>
  </si>
  <si>
    <r>
      <t>1. 5th Gen AMD EPYC "Turin" Processors</t>
    </r>
    <r>
      <rPr>
        <sz val="10"/>
        <color theme="1"/>
        <rFont val="arial"/>
        <family val="2"/>
      </rPr>
      <t>:</t>
    </r>
  </si>
  <si>
    <r>
      <t xml:space="preserve">Previewed with </t>
    </r>
    <r>
      <rPr>
        <b/>
        <sz val="10"/>
        <color theme="1"/>
        <rFont val="Arial"/>
        <family val="2"/>
      </rPr>
      <t>“Zen 5” core architecture</t>
    </r>
    <r>
      <rPr>
        <sz val="10"/>
        <color theme="1"/>
        <rFont val="arial"/>
        <family val="2"/>
      </rPr>
      <t>.</t>
    </r>
  </si>
  <si>
    <t>Expected release: 2H 2024.</t>
  </si>
  <si>
    <r>
      <t>2. Oracle HeatWave GenAI Solution</t>
    </r>
    <r>
      <rPr>
        <sz val="10"/>
        <color theme="1"/>
        <rFont val="arial"/>
        <family val="2"/>
      </rPr>
      <t>:</t>
    </r>
  </si>
  <si>
    <t>Powered by AMD EPYC CPUs.</t>
  </si>
  <si>
    <r>
      <t xml:space="preserve">Brings </t>
    </r>
    <r>
      <rPr>
        <b/>
        <sz val="10"/>
        <color theme="1"/>
        <rFont val="Arial"/>
        <family val="2"/>
      </rPr>
      <t>generative AI</t>
    </r>
    <r>
      <rPr>
        <sz val="10"/>
        <color theme="1"/>
        <rFont val="arial"/>
        <family val="2"/>
      </rPr>
      <t xml:space="preserve"> capabilities to enterprise data without requiring AI expertise.</t>
    </r>
  </si>
  <si>
    <r>
      <t>3. AMD EPYC 4004 Series Processors</t>
    </r>
    <r>
      <rPr>
        <sz val="10"/>
        <color theme="1"/>
        <rFont val="arial"/>
        <family val="2"/>
      </rPr>
      <t>:</t>
    </r>
  </si>
  <si>
    <r>
      <t xml:space="preserve">New cost-optimized option for </t>
    </r>
    <r>
      <rPr>
        <b/>
        <sz val="10"/>
        <color theme="1"/>
        <rFont val="Arial"/>
        <family val="2"/>
      </rPr>
      <t>small and medium businesses</t>
    </r>
    <r>
      <rPr>
        <sz val="10"/>
        <color theme="1"/>
        <rFont val="arial"/>
        <family val="2"/>
      </rPr>
      <t>.</t>
    </r>
  </si>
  <si>
    <r>
      <t>4. Supercomputer Rankings</t>
    </r>
    <r>
      <rPr>
        <sz val="10"/>
        <color theme="1"/>
        <rFont val="arial"/>
        <family val="2"/>
      </rPr>
      <t>:</t>
    </r>
  </si>
  <si>
    <r>
      <t>Frontier supercomputer</t>
    </r>
    <r>
      <rPr>
        <sz val="10"/>
        <color theme="1"/>
        <rFont val="arial"/>
        <family val="2"/>
      </rPr>
      <t xml:space="preserve"> at Oak Ridge National Lab is ranked as the </t>
    </r>
    <r>
      <rPr>
        <b/>
        <sz val="10"/>
        <color theme="1"/>
        <rFont val="Arial"/>
        <family val="2"/>
      </rPr>
      <t>fastest in the world</t>
    </r>
    <r>
      <rPr>
        <sz val="10"/>
        <color theme="1"/>
        <rFont val="arial"/>
        <family val="2"/>
      </rPr>
      <t xml:space="preserve"> for the third consecutive year.</t>
    </r>
  </si>
  <si>
    <r>
      <t>Lawrence Livermore National Laboratories</t>
    </r>
    <r>
      <rPr>
        <sz val="10"/>
        <color theme="1"/>
        <rFont val="arial"/>
        <family val="2"/>
      </rPr>
      <t xml:space="preserve"> added three new systems powered by AMD Instinct MI300A APU.</t>
    </r>
  </si>
  <si>
    <t>New Client and Graphics Offerings</t>
  </si>
  <si>
    <r>
      <t>1. AMD Ryzen 9000 Series Processors</t>
    </r>
    <r>
      <rPr>
        <sz val="10"/>
        <color theme="1"/>
        <rFont val="arial"/>
        <family val="2"/>
      </rPr>
      <t>:</t>
    </r>
  </si>
  <si>
    <r>
      <t xml:space="preserve">Based on </t>
    </r>
    <r>
      <rPr>
        <b/>
        <sz val="10"/>
        <color theme="1"/>
        <rFont val="Arial"/>
        <family val="2"/>
      </rPr>
      <t>“Zen 5” architecture</t>
    </r>
    <r>
      <rPr>
        <sz val="10"/>
        <color theme="1"/>
        <rFont val="arial"/>
        <family val="2"/>
      </rPr>
      <t>.</t>
    </r>
  </si>
  <si>
    <r>
      <t xml:space="preserve">Offers </t>
    </r>
    <r>
      <rPr>
        <b/>
        <sz val="10"/>
        <color theme="1"/>
        <rFont val="Arial"/>
        <family val="2"/>
      </rPr>
      <t>leadership performance</t>
    </r>
    <r>
      <rPr>
        <sz val="10"/>
        <color theme="1"/>
        <rFont val="arial"/>
        <family val="2"/>
      </rPr>
      <t xml:space="preserve"> for gaming, productivity, and content creation.</t>
    </r>
  </si>
  <si>
    <r>
      <t>2. AMD Ryzen PRO 8040 and 8000 Series</t>
    </r>
    <r>
      <rPr>
        <sz val="10"/>
        <color theme="1"/>
        <rFont val="arial"/>
        <family val="2"/>
      </rPr>
      <t>:</t>
    </r>
  </si>
  <si>
    <r>
      <t xml:space="preserve">Announced for </t>
    </r>
    <r>
      <rPr>
        <b/>
        <sz val="10"/>
        <color theme="1"/>
        <rFont val="Arial"/>
        <family val="2"/>
      </rPr>
      <t>mobile and desktop</t>
    </r>
    <r>
      <rPr>
        <sz val="10"/>
        <color theme="1"/>
        <rFont val="arial"/>
        <family val="2"/>
      </rPr>
      <t xml:space="preserve"> with a focus on performance, manageability, and security.</t>
    </r>
  </si>
  <si>
    <t>Embedded Solutions for Edge Computing</t>
  </si>
  <si>
    <r>
      <t>1. Smart Parking Solutions</t>
    </r>
    <r>
      <rPr>
        <sz val="10"/>
        <color theme="1"/>
        <rFont val="arial"/>
        <family val="2"/>
      </rPr>
      <t>:</t>
    </r>
  </si>
  <si>
    <r>
      <t>Sun Singapore</t>
    </r>
    <r>
      <rPr>
        <sz val="10"/>
        <color theme="1"/>
        <rFont val="arial"/>
        <family val="2"/>
      </rPr>
      <t xml:space="preserve"> is using AMD Zynq™ UltraScale+™ MPSoC for AI-based </t>
    </r>
    <r>
      <rPr>
        <b/>
        <sz val="10"/>
        <color theme="1"/>
        <rFont val="Arial"/>
        <family val="2"/>
      </rPr>
      <t>smart parking services</t>
    </r>
    <r>
      <rPr>
        <sz val="10"/>
        <color theme="1"/>
        <rFont val="arial"/>
        <family val="2"/>
      </rPr>
      <t xml:space="preserve"> with accelerated video analytics.</t>
    </r>
  </si>
  <si>
    <r>
      <t>2. High-Performance Compute for Finance</t>
    </r>
    <r>
      <rPr>
        <sz val="10"/>
        <color theme="1"/>
        <rFont val="arial"/>
        <family val="2"/>
      </rPr>
      <t>:</t>
    </r>
  </si>
  <si>
    <r>
      <t>Optiver</t>
    </r>
    <r>
      <rPr>
        <sz val="10"/>
        <color theme="1"/>
        <rFont val="arial"/>
        <family val="2"/>
      </rPr>
      <t xml:space="preserve"> is leveraging AMD solutions, including </t>
    </r>
    <r>
      <rPr>
        <b/>
        <sz val="10"/>
        <color theme="1"/>
        <rFont val="Arial"/>
        <family val="2"/>
      </rPr>
      <t>EPYC CPUs</t>
    </r>
    <r>
      <rPr>
        <sz val="10"/>
        <color theme="1"/>
        <rFont val="arial"/>
        <family val="2"/>
      </rPr>
      <t xml:space="preserve"> and </t>
    </r>
    <r>
      <rPr>
        <b/>
        <sz val="10"/>
        <color theme="1"/>
        <rFont val="Arial"/>
        <family val="2"/>
      </rPr>
      <t>Solarflare™ ethernet adapters</t>
    </r>
    <r>
      <rPr>
        <sz val="10"/>
        <color theme="1"/>
        <rFont val="arial"/>
        <family val="2"/>
      </rPr>
      <t>.</t>
    </r>
  </si>
  <si>
    <t>Meanings?</t>
  </si>
  <si>
    <t>SG&amp;A</t>
  </si>
  <si>
    <t>Net cash</t>
  </si>
  <si>
    <t>A/R</t>
  </si>
  <si>
    <t>Inventories</t>
  </si>
  <si>
    <t>Receivables related partners</t>
  </si>
  <si>
    <t>Prepaid</t>
  </si>
  <si>
    <t>PP&amp;E</t>
  </si>
  <si>
    <t>Lease</t>
  </si>
  <si>
    <t>Goodwill</t>
  </si>
  <si>
    <t>Acquisition-related intanglibles</t>
  </si>
  <si>
    <t>Investment: equity method</t>
  </si>
  <si>
    <t>D/T</t>
  </si>
  <si>
    <t>Other</t>
  </si>
  <si>
    <t>Assets</t>
  </si>
  <si>
    <t>A/P</t>
  </si>
  <si>
    <t>Paybles to related parties</t>
  </si>
  <si>
    <t>Accrued</t>
  </si>
  <si>
    <t>OL</t>
  </si>
  <si>
    <t>OCL</t>
  </si>
  <si>
    <t>OA</t>
  </si>
  <si>
    <t>Liabilities</t>
  </si>
  <si>
    <t>S/E</t>
  </si>
  <si>
    <t>L+S/E</t>
  </si>
  <si>
    <t>NI TTM</t>
  </si>
  <si>
    <t>Tangible bookvalue return</t>
  </si>
  <si>
    <t>Model NI</t>
  </si>
  <si>
    <t>Reported NI</t>
  </si>
  <si>
    <t>D&amp;A</t>
  </si>
  <si>
    <t>SBC</t>
  </si>
  <si>
    <t>Amor right of use assets</t>
  </si>
  <si>
    <t>Inventory loss</t>
  </si>
  <si>
    <t>Working capital</t>
  </si>
  <si>
    <t>CFFO</t>
  </si>
  <si>
    <t>CapEx</t>
  </si>
  <si>
    <t>FCF</t>
  </si>
  <si>
    <t>Client</t>
  </si>
  <si>
    <t>Gaming</t>
  </si>
  <si>
    <t>Embedded</t>
  </si>
  <si>
    <t>All Other</t>
  </si>
  <si>
    <t>y/y</t>
  </si>
  <si>
    <r>
      <t>Data Center Segment</t>
    </r>
    <r>
      <rPr>
        <sz val="10"/>
        <color theme="1"/>
        <rFont val="arial"/>
        <family val="2"/>
      </rPr>
      <t>:</t>
    </r>
  </si>
  <si>
    <t>Products: Server CPUs, GPUs, APUs, DPUs, FPGAs, SmartNICs, AI accelerators, Adaptive SoCs.</t>
  </si>
  <si>
    <t>Use Case: Data center solutions.</t>
  </si>
  <si>
    <r>
      <t>Client Segment</t>
    </r>
    <r>
      <rPr>
        <sz val="10"/>
        <color theme="1"/>
        <rFont val="arial"/>
        <family val="2"/>
      </rPr>
      <t>:</t>
    </r>
  </si>
  <si>
    <t>Products: CPUs, APUs, chipsets.</t>
  </si>
  <si>
    <t>Use Case: Desktop, notebook, and handheld PCs.</t>
  </si>
  <si>
    <r>
      <t>Gaming Segment</t>
    </r>
    <r>
      <rPr>
        <sz val="10"/>
        <color theme="1"/>
        <rFont val="arial"/>
        <family val="2"/>
      </rPr>
      <t>:</t>
    </r>
  </si>
  <si>
    <t>Products: Discrete GPUs, semi-custom SoC products, development services.</t>
  </si>
  <si>
    <t>Use Case: Gaming systems and consoles.</t>
  </si>
  <si>
    <r>
      <t>Embedded Segment</t>
    </r>
    <r>
      <rPr>
        <sz val="10"/>
        <color theme="1"/>
        <rFont val="arial"/>
        <family val="2"/>
      </rPr>
      <t>:</t>
    </r>
  </si>
  <si>
    <t>Products: Embedded CPUs, GPUs, APUs, FPGAs, SOMs, Adaptive SoCs.</t>
  </si>
  <si>
    <t>Use Case: Embedded computing applications.</t>
  </si>
  <si>
    <r>
      <t>CPU (Central Processing Unit)</t>
    </r>
    <r>
      <rPr>
        <sz val="10"/>
        <color theme="1"/>
        <rFont val="arial"/>
        <family val="2"/>
      </rPr>
      <t>: The primary processor in a computer, responsible for executing instructions and performing calculations for most computing tasks.</t>
    </r>
  </si>
  <si>
    <r>
      <t>GPU (Graphics Processing Unit)</t>
    </r>
    <r>
      <rPr>
        <sz val="10"/>
        <color theme="1"/>
        <rFont val="arial"/>
        <family val="2"/>
      </rPr>
      <t>: A processor designed to handle graphics rendering, parallel processing tasks, and is widely used in gaming, graphics, and AI workloads.</t>
    </r>
  </si>
  <si>
    <r>
      <t>APU (Accelerated Processing Unit)</t>
    </r>
    <r>
      <rPr>
        <sz val="10"/>
        <color theme="1"/>
        <rFont val="arial"/>
        <family val="2"/>
      </rPr>
      <t>: A type of processor that combines a CPU and GPU on a single chip to improve energy efficiency and integration, often used in budget and compact computing devices.</t>
    </r>
  </si>
  <si>
    <r>
      <t>DPU (Data Processing Unit)</t>
    </r>
    <r>
      <rPr>
        <sz val="10"/>
        <color theme="1"/>
        <rFont val="arial"/>
        <family val="2"/>
      </rPr>
      <t>: A specialized processor designed to handle data-centric tasks such as storage, networking, and security, commonly used in data centers to offload workloads from the CPU.</t>
    </r>
  </si>
  <si>
    <r>
      <t>FPGA (Field Programmable Gate Array)</t>
    </r>
    <r>
      <rPr>
        <sz val="10"/>
        <color theme="1"/>
        <rFont val="arial"/>
        <family val="2"/>
      </rPr>
      <t>: An integrated circuit that can be configured by a customer or designer after manufacturing, allowing for highly customizable hardware processing solutions.</t>
    </r>
  </si>
  <si>
    <r>
      <t>SmartNIC (Smart Network Interface Card)</t>
    </r>
    <r>
      <rPr>
        <sz val="10"/>
        <color theme="1"/>
        <rFont val="arial"/>
        <family val="2"/>
      </rPr>
      <t>: A network interface card with additional processing power to handle network tasks, reducing the load on the CPU and optimizing performance in data centers.</t>
    </r>
  </si>
  <si>
    <r>
      <t>AI (Artificial Intelligence) Accelerator</t>
    </r>
    <r>
      <rPr>
        <sz val="10"/>
        <color theme="1"/>
        <rFont val="arial"/>
        <family val="2"/>
      </rPr>
      <t>: Specialized hardware designed to accelerate AI tasks, such as deep learning and machine learning model training and inference.</t>
    </r>
  </si>
  <si>
    <r>
      <t>SoC (System on Chip)</t>
    </r>
    <r>
      <rPr>
        <sz val="10"/>
        <color theme="1"/>
        <rFont val="arial"/>
        <family val="2"/>
      </rPr>
      <t>: An integrated circuit that consolidates all components of a computer or electronic system into a single chip, including CPU, memory, and other components.</t>
    </r>
  </si>
  <si>
    <r>
      <t>SOM (System on Module)</t>
    </r>
    <r>
      <rPr>
        <sz val="10"/>
        <color theme="1"/>
        <rFont val="arial"/>
        <family val="2"/>
      </rPr>
      <t>: A complete computer module containing a processor, memory, and other essential components, used for embedded system applications to facilitate rapid development and integration.</t>
    </r>
  </si>
  <si>
    <t>Q324</t>
  </si>
  <si>
    <t>margin</t>
  </si>
  <si>
    <t>Investments</t>
  </si>
  <si>
    <t>Aquisitions</t>
  </si>
  <si>
    <t>Investee</t>
  </si>
  <si>
    <t>CFFI</t>
  </si>
  <si>
    <t>Buybacks</t>
  </si>
  <si>
    <t>ESOP</t>
  </si>
  <si>
    <t>Tax withholding</t>
  </si>
  <si>
    <t>CFFF</t>
  </si>
  <si>
    <t>CIC</t>
  </si>
  <si>
    <t>Terminal</t>
  </si>
  <si>
    <t>Discount</t>
  </si>
  <si>
    <t>ROIC</t>
  </si>
  <si>
    <t>NPV</t>
  </si>
  <si>
    <t>Share</t>
  </si>
  <si>
    <t>Current price</t>
  </si>
  <si>
    <t>Upside</t>
  </si>
  <si>
    <t>Founded</t>
  </si>
  <si>
    <t>Founders</t>
  </si>
  <si>
    <t>Jerry Sanders</t>
  </si>
  <si>
    <t>CEO</t>
  </si>
  <si>
    <t>CFO</t>
  </si>
  <si>
    <t>CIO</t>
  </si>
  <si>
    <t>CMO</t>
  </si>
  <si>
    <t>CTO</t>
  </si>
  <si>
    <t>President</t>
  </si>
  <si>
    <t>Headquaters</t>
  </si>
  <si>
    <t>Lisa Su</t>
  </si>
  <si>
    <t>Jean Hu</t>
  </si>
  <si>
    <t>Hasmukh Ranjan</t>
  </si>
  <si>
    <t>John Taylor</t>
  </si>
  <si>
    <t>Mark Papermaster</t>
  </si>
  <si>
    <t>Victor Peng</t>
  </si>
  <si>
    <t>Santa Clara, California, USA</t>
  </si>
  <si>
    <t>Q424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</si>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</sst>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x"/>
    <numFmt numFmtId="165" formatCode="d/mm/yy;@"/>
  </numFmts>
  <fonts count="8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28"/>
      <color theme="1"/>
      <name val="Arial"/>
      <family val="2"/>
    </font>
    <font>
      <b/>
      <sz val="13.5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3" fontId="0" fillId="0" borderId="0" xfId="0" applyNumberFormat="1"/>
    <xf numFmtId="0" fontId="1" fillId="0" borderId="0" xfId="0" applyFont="1"/>
    <xf numFmtId="9" fontId="0" fillId="0" borderId="0" xfId="0" applyNumberFormat="1"/>
    <xf numFmtId="9" fontId="1" fillId="0" borderId="0" xfId="0" applyNumberFormat="1" applyFont="1"/>
    <xf numFmtId="0" fontId="0" fillId="0" borderId="0" xfId="0" applyAlignment="1">
      <alignment horizontal="right"/>
    </xf>
    <xf numFmtId="3" fontId="1" fillId="0" borderId="0" xfId="0" applyNumberFormat="1" applyFont="1"/>
    <xf numFmtId="4" fontId="0" fillId="0" borderId="0" xfId="0" applyNumberFormat="1"/>
    <xf numFmtId="164" fontId="0" fillId="0" borderId="0" xfId="0" applyNumberFormat="1"/>
    <xf numFmtId="3" fontId="0" fillId="0" borderId="0" xfId="0" applyNumberFormat="1" applyAlignment="1">
      <alignment horizontal="right"/>
    </xf>
    <xf numFmtId="0" fontId="3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1" fillId="0" borderId="0" xfId="0" applyFont="1" applyAlignment="1">
      <alignment horizontal="left" vertical="center" indent="2"/>
    </xf>
    <xf numFmtId="9" fontId="0" fillId="0" borderId="0" xfId="0" applyNumberFormat="1" applyAlignment="1">
      <alignment horizontal="right"/>
    </xf>
    <xf numFmtId="3" fontId="1" fillId="2" borderId="0" xfId="0" applyNumberFormat="1" applyFont="1" applyFill="1"/>
    <xf numFmtId="3" fontId="0" fillId="2" borderId="0" xfId="0" applyNumberFormat="1" applyFill="1" applyAlignment="1">
      <alignment horizontal="right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9525</xdr:colOff>
      <xdr:row>0</xdr:row>
      <xdr:rowOff>0</xdr:rowOff>
    </xdr:from>
    <xdr:to>
      <xdr:col>17</xdr:col>
      <xdr:colOff>9525</xdr:colOff>
      <xdr:row>118</xdr:row>
      <xdr:rowOff>57150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107D6D2-12C3-D30C-1074-E338370FDF03}"/>
            </a:ext>
          </a:extLst>
        </xdr:cNvPr>
        <xdr:cNvCxnSpPr/>
      </xdr:nvCxnSpPr>
      <xdr:spPr>
        <a:xfrm>
          <a:off x="12773025" y="0"/>
          <a:ext cx="0" cy="194405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19050</xdr:colOff>
      <xdr:row>0</xdr:row>
      <xdr:rowOff>9525</xdr:rowOff>
    </xdr:from>
    <xdr:to>
      <xdr:col>32</xdr:col>
      <xdr:colOff>19050</xdr:colOff>
      <xdr:row>118</xdr:row>
      <xdr:rowOff>66675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DFAE616A-0698-4B27-BA2B-8582C4087F03}"/>
            </a:ext>
          </a:extLst>
        </xdr:cNvPr>
        <xdr:cNvCxnSpPr/>
      </xdr:nvCxnSpPr>
      <xdr:spPr>
        <a:xfrm>
          <a:off x="20774025" y="9525"/>
          <a:ext cx="0" cy="196024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E89B7-77CE-460C-BB9F-8A3B39E9077F}">
  <dimension ref="A1:M71"/>
  <sheetViews>
    <sheetView tabSelected="1" workbookViewId="0">
      <selection activeCell="Q10" sqref="Q10"/>
    </sheetView>
  </sheetViews>
  <sheetFormatPr defaultRowHeight="12.75" x14ac:dyDescent="0.2"/>
  <cols>
    <col min="1" max="1" width="13.28515625" customWidth="1"/>
    <col min="10" max="10" width="12.140625" customWidth="1"/>
    <col min="11" max="11" width="10" customWidth="1"/>
  </cols>
  <sheetData>
    <row r="1" spans="1:13" ht="34.5" x14ac:dyDescent="0.45">
      <c r="A1" s="1" t="s">
        <v>2</v>
      </c>
    </row>
    <row r="2" spans="1:13" x14ac:dyDescent="0.2">
      <c r="A2" t="s">
        <v>0</v>
      </c>
      <c r="K2" t="s">
        <v>3</v>
      </c>
      <c r="L2" s="8">
        <v>78</v>
      </c>
    </row>
    <row r="3" spans="1:13" x14ac:dyDescent="0.2">
      <c r="A3" t="s">
        <v>1</v>
      </c>
      <c r="B3" s="3" t="s">
        <v>42</v>
      </c>
      <c r="H3" s="3" t="s">
        <v>88</v>
      </c>
      <c r="K3" t="s">
        <v>4</v>
      </c>
      <c r="L3" s="2">
        <f>+Model!P40</f>
        <v>1636</v>
      </c>
      <c r="M3" s="6" t="s">
        <v>150</v>
      </c>
    </row>
    <row r="4" spans="1:13" x14ac:dyDescent="0.2">
      <c r="B4" t="s">
        <v>41</v>
      </c>
      <c r="H4" t="s">
        <v>45</v>
      </c>
      <c r="K4" t="s">
        <v>5</v>
      </c>
      <c r="L4" s="2">
        <f>+L2*L3</f>
        <v>127608</v>
      </c>
      <c r="M4" s="6"/>
    </row>
    <row r="5" spans="1:13" x14ac:dyDescent="0.2">
      <c r="B5" t="s">
        <v>40</v>
      </c>
      <c r="H5" t="s">
        <v>46</v>
      </c>
      <c r="K5" t="s">
        <v>6</v>
      </c>
      <c r="L5" s="2">
        <f>+Model!P50</f>
        <v>4544</v>
      </c>
      <c r="M5" s="6" t="s">
        <v>150</v>
      </c>
    </row>
    <row r="6" spans="1:13" x14ac:dyDescent="0.2">
      <c r="H6" t="s">
        <v>47</v>
      </c>
      <c r="K6" t="s">
        <v>7</v>
      </c>
      <c r="L6" s="2">
        <f>+Model!P66</f>
        <v>1720</v>
      </c>
      <c r="M6" s="6" t="s">
        <v>150</v>
      </c>
    </row>
    <row r="7" spans="1:13" x14ac:dyDescent="0.2">
      <c r="B7" s="3" t="s">
        <v>43</v>
      </c>
      <c r="H7" t="s">
        <v>48</v>
      </c>
      <c r="K7" t="s">
        <v>8</v>
      </c>
      <c r="L7" s="2">
        <f>+L4-L5+L6</f>
        <v>124784</v>
      </c>
    </row>
    <row r="8" spans="1:13" x14ac:dyDescent="0.2">
      <c r="B8" t="s">
        <v>44</v>
      </c>
      <c r="L8" s="9">
        <f>+L7/3800</f>
        <v>32.837894736842102</v>
      </c>
    </row>
    <row r="9" spans="1:13" ht="12" customHeight="1" x14ac:dyDescent="0.2"/>
    <row r="10" spans="1:13" ht="12" customHeight="1" x14ac:dyDescent="0.2">
      <c r="B10" s="3" t="s">
        <v>129</v>
      </c>
      <c r="K10" t="s">
        <v>168</v>
      </c>
      <c r="L10">
        <v>1969</v>
      </c>
    </row>
    <row r="11" spans="1:13" ht="12" customHeight="1" x14ac:dyDescent="0.2">
      <c r="B11" s="12" t="s">
        <v>130</v>
      </c>
      <c r="K11" t="s">
        <v>169</v>
      </c>
      <c r="L11" s="9" t="s">
        <v>170</v>
      </c>
    </row>
    <row r="12" spans="1:13" ht="12" customHeight="1" x14ac:dyDescent="0.2">
      <c r="B12" s="12" t="s">
        <v>131</v>
      </c>
      <c r="K12" t="s">
        <v>171</v>
      </c>
      <c r="L12" s="9" t="s">
        <v>178</v>
      </c>
    </row>
    <row r="13" spans="1:13" ht="12" customHeight="1" x14ac:dyDescent="0.2">
      <c r="B13" s="3" t="s">
        <v>132</v>
      </c>
      <c r="K13" t="s">
        <v>172</v>
      </c>
      <c r="L13" s="9" t="s">
        <v>179</v>
      </c>
    </row>
    <row r="14" spans="1:13" ht="12" customHeight="1" x14ac:dyDescent="0.2">
      <c r="B14" s="12" t="s">
        <v>133</v>
      </c>
      <c r="K14" t="s">
        <v>173</v>
      </c>
      <c r="L14" s="9" t="s">
        <v>180</v>
      </c>
    </row>
    <row r="15" spans="1:13" ht="12" customHeight="1" x14ac:dyDescent="0.2">
      <c r="B15" s="12" t="s">
        <v>134</v>
      </c>
      <c r="K15" t="s">
        <v>174</v>
      </c>
      <c r="L15" s="9" t="s">
        <v>181</v>
      </c>
    </row>
    <row r="16" spans="1:13" ht="12" customHeight="1" x14ac:dyDescent="0.2">
      <c r="B16" s="3" t="s">
        <v>135</v>
      </c>
      <c r="K16" t="s">
        <v>175</v>
      </c>
      <c r="L16" s="9" t="s">
        <v>182</v>
      </c>
    </row>
    <row r="17" spans="2:12" ht="12" customHeight="1" x14ac:dyDescent="0.2">
      <c r="B17" s="12" t="s">
        <v>136</v>
      </c>
      <c r="K17" t="s">
        <v>176</v>
      </c>
      <c r="L17" s="9" t="s">
        <v>183</v>
      </c>
    </row>
    <row r="18" spans="2:12" ht="12" customHeight="1" x14ac:dyDescent="0.2">
      <c r="B18" s="12" t="s">
        <v>137</v>
      </c>
      <c r="K18" t="s">
        <v>177</v>
      </c>
      <c r="L18" s="9" t="s">
        <v>184</v>
      </c>
    </row>
    <row r="19" spans="2:12" ht="12" customHeight="1" x14ac:dyDescent="0.2">
      <c r="B19" s="3" t="s">
        <v>138</v>
      </c>
      <c r="L19" s="9"/>
    </row>
    <row r="20" spans="2:12" ht="12" customHeight="1" x14ac:dyDescent="0.2">
      <c r="B20" s="12" t="s">
        <v>139</v>
      </c>
      <c r="L20" s="9"/>
    </row>
    <row r="21" spans="2:12" ht="12" customHeight="1" x14ac:dyDescent="0.2">
      <c r="B21" s="12" t="s">
        <v>140</v>
      </c>
      <c r="L21" s="9"/>
    </row>
    <row r="22" spans="2:12" ht="12" customHeight="1" x14ac:dyDescent="0.2">
      <c r="B22" s="12"/>
      <c r="L22" s="9"/>
    </row>
    <row r="23" spans="2:12" ht="12" customHeight="1" x14ac:dyDescent="0.2">
      <c r="B23" s="3" t="s">
        <v>141</v>
      </c>
      <c r="L23" s="9"/>
    </row>
    <row r="24" spans="2:12" ht="12" customHeight="1" x14ac:dyDescent="0.2">
      <c r="B24" s="3" t="s">
        <v>142</v>
      </c>
      <c r="L24" s="9"/>
    </row>
    <row r="25" spans="2:12" ht="12" customHeight="1" x14ac:dyDescent="0.2">
      <c r="B25" s="3" t="s">
        <v>143</v>
      </c>
      <c r="L25" s="9"/>
    </row>
    <row r="26" spans="2:12" ht="12" customHeight="1" x14ac:dyDescent="0.2">
      <c r="B26" s="3" t="s">
        <v>144</v>
      </c>
      <c r="L26" s="9"/>
    </row>
    <row r="27" spans="2:12" ht="12" customHeight="1" x14ac:dyDescent="0.2">
      <c r="B27" s="3" t="s">
        <v>145</v>
      </c>
      <c r="L27" s="9"/>
    </row>
    <row r="28" spans="2:12" ht="12" customHeight="1" x14ac:dyDescent="0.2">
      <c r="B28" s="3" t="s">
        <v>146</v>
      </c>
      <c r="L28" s="9"/>
    </row>
    <row r="29" spans="2:12" ht="12" customHeight="1" x14ac:dyDescent="0.2">
      <c r="B29" s="3" t="s">
        <v>147</v>
      </c>
      <c r="L29" s="9"/>
    </row>
    <row r="30" spans="2:12" ht="12" customHeight="1" x14ac:dyDescent="0.2">
      <c r="B30" s="3" t="s">
        <v>148</v>
      </c>
      <c r="L30" s="9"/>
    </row>
    <row r="31" spans="2:12" ht="12" customHeight="1" x14ac:dyDescent="0.2">
      <c r="B31" s="3" t="s">
        <v>149</v>
      </c>
      <c r="L31" s="9"/>
    </row>
    <row r="32" spans="2:12" ht="12" customHeight="1" x14ac:dyDescent="0.2"/>
    <row r="33" spans="2:2" ht="12" customHeight="1" x14ac:dyDescent="0.2">
      <c r="B33" s="11" t="s">
        <v>49</v>
      </c>
    </row>
    <row r="34" spans="2:2" x14ac:dyDescent="0.2">
      <c r="B34" s="13" t="s">
        <v>50</v>
      </c>
    </row>
    <row r="35" spans="2:2" x14ac:dyDescent="0.2">
      <c r="B35" s="14" t="s">
        <v>51</v>
      </c>
    </row>
    <row r="36" spans="2:2" x14ac:dyDescent="0.2">
      <c r="B36" s="14" t="s">
        <v>52</v>
      </c>
    </row>
    <row r="37" spans="2:2" x14ac:dyDescent="0.2">
      <c r="B37" s="14" t="s">
        <v>53</v>
      </c>
    </row>
    <row r="38" spans="2:2" x14ac:dyDescent="0.2">
      <c r="B38" s="14" t="s">
        <v>54</v>
      </c>
    </row>
    <row r="39" spans="2:2" x14ac:dyDescent="0.2">
      <c r="B39" s="13" t="s">
        <v>55</v>
      </c>
    </row>
    <row r="40" spans="2:2" x14ac:dyDescent="0.2">
      <c r="B40" s="14" t="s">
        <v>56</v>
      </c>
    </row>
    <row r="41" spans="2:2" x14ac:dyDescent="0.2">
      <c r="B41" s="14" t="s">
        <v>57</v>
      </c>
    </row>
    <row r="42" spans="2:2" x14ac:dyDescent="0.2">
      <c r="B42" s="13" t="s">
        <v>58</v>
      </c>
    </row>
    <row r="43" spans="2:2" x14ac:dyDescent="0.2">
      <c r="B43" s="14" t="s">
        <v>59</v>
      </c>
    </row>
    <row r="44" spans="2:2" x14ac:dyDescent="0.2">
      <c r="B44" s="13" t="s">
        <v>60</v>
      </c>
    </row>
    <row r="45" spans="2:2" x14ac:dyDescent="0.2">
      <c r="B45" s="14" t="s">
        <v>61</v>
      </c>
    </row>
    <row r="46" spans="2:2" x14ac:dyDescent="0.2">
      <c r="B46" s="13" t="s">
        <v>62</v>
      </c>
    </row>
    <row r="47" spans="2:2" x14ac:dyDescent="0.2">
      <c r="B47" s="14" t="s">
        <v>63</v>
      </c>
    </row>
    <row r="48" spans="2:2" x14ac:dyDescent="0.2">
      <c r="B48" s="14" t="s">
        <v>64</v>
      </c>
    </row>
    <row r="49" spans="2:2" ht="17.25" x14ac:dyDescent="0.2">
      <c r="B49" s="11" t="s">
        <v>65</v>
      </c>
    </row>
    <row r="50" spans="2:2" x14ac:dyDescent="0.2">
      <c r="B50" s="13" t="s">
        <v>66</v>
      </c>
    </row>
    <row r="51" spans="2:2" x14ac:dyDescent="0.2">
      <c r="B51" s="14" t="s">
        <v>67</v>
      </c>
    </row>
    <row r="52" spans="2:2" x14ac:dyDescent="0.2">
      <c r="B52" s="14" t="s">
        <v>68</v>
      </c>
    </row>
    <row r="53" spans="2:2" x14ac:dyDescent="0.2">
      <c r="B53" s="13" t="s">
        <v>69</v>
      </c>
    </row>
    <row r="54" spans="2:2" x14ac:dyDescent="0.2">
      <c r="B54" s="14" t="s">
        <v>70</v>
      </c>
    </row>
    <row r="55" spans="2:2" x14ac:dyDescent="0.2">
      <c r="B55" s="14" t="s">
        <v>71</v>
      </c>
    </row>
    <row r="56" spans="2:2" x14ac:dyDescent="0.2">
      <c r="B56" s="13" t="s">
        <v>72</v>
      </c>
    </row>
    <row r="57" spans="2:2" x14ac:dyDescent="0.2">
      <c r="B57" s="14" t="s">
        <v>73</v>
      </c>
    </row>
    <row r="58" spans="2:2" x14ac:dyDescent="0.2">
      <c r="B58" s="13" t="s">
        <v>74</v>
      </c>
    </row>
    <row r="59" spans="2:2" x14ac:dyDescent="0.2">
      <c r="B59" s="15" t="s">
        <v>75</v>
      </c>
    </row>
    <row r="60" spans="2:2" x14ac:dyDescent="0.2">
      <c r="B60" s="15" t="s">
        <v>76</v>
      </c>
    </row>
    <row r="61" spans="2:2" ht="17.25" x14ac:dyDescent="0.2">
      <c r="B61" s="11" t="s">
        <v>77</v>
      </c>
    </row>
    <row r="62" spans="2:2" x14ac:dyDescent="0.2">
      <c r="B62" s="13" t="s">
        <v>78</v>
      </c>
    </row>
    <row r="63" spans="2:2" x14ac:dyDescent="0.2">
      <c r="B63" s="14" t="s">
        <v>79</v>
      </c>
    </row>
    <row r="64" spans="2:2" x14ac:dyDescent="0.2">
      <c r="B64" s="14" t="s">
        <v>80</v>
      </c>
    </row>
    <row r="65" spans="2:2" x14ac:dyDescent="0.2">
      <c r="B65" s="13" t="s">
        <v>81</v>
      </c>
    </row>
    <row r="66" spans="2:2" x14ac:dyDescent="0.2">
      <c r="B66" s="14" t="s">
        <v>82</v>
      </c>
    </row>
    <row r="67" spans="2:2" ht="17.25" x14ac:dyDescent="0.2">
      <c r="B67" s="11" t="s">
        <v>83</v>
      </c>
    </row>
    <row r="68" spans="2:2" x14ac:dyDescent="0.2">
      <c r="B68" s="13" t="s">
        <v>84</v>
      </c>
    </row>
    <row r="69" spans="2:2" x14ac:dyDescent="0.2">
      <c r="B69" s="15" t="s">
        <v>85</v>
      </c>
    </row>
    <row r="70" spans="2:2" x14ac:dyDescent="0.2">
      <c r="B70" s="13" t="s">
        <v>86</v>
      </c>
    </row>
    <row r="71" spans="2:2" x14ac:dyDescent="0.2">
      <c r="B71" s="15" t="s">
        <v>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BD57C-A6AD-4854-AAB2-6F558852A537}">
  <dimension ref="A1:EM105"/>
  <sheetViews>
    <sheetView workbookViewId="0">
      <pane xSplit="1" ySplit="3" topLeftCell="AB20" activePane="bottomRight" state="frozen"/>
      <selection pane="topRight" activeCell="B1" sqref="B1"/>
      <selection pane="bottomLeft" activeCell="A4" sqref="A4"/>
      <selection pane="bottomRight" activeCell="AQ22" sqref="AQ22"/>
    </sheetView>
  </sheetViews>
  <sheetFormatPr defaultRowHeight="12.75" x14ac:dyDescent="0.2"/>
  <cols>
    <col min="1" max="1" width="27.42578125" customWidth="1"/>
    <col min="2" max="13" width="10.140625" style="2" bestFit="1" customWidth="1"/>
    <col min="14" max="14" width="10.5703125" style="2" bestFit="1" customWidth="1"/>
    <col min="15" max="19" width="10.5703125" style="2" customWidth="1"/>
    <col min="20" max="20" width="9.140625" style="2"/>
    <col min="21" max="21" width="10.140625" style="2" bestFit="1" customWidth="1"/>
    <col min="22" max="43" width="9.140625" style="2"/>
    <col min="44" max="45" width="9.140625" style="2" customWidth="1"/>
    <col min="46" max="48" width="9.140625" style="2"/>
    <col min="49" max="49" width="11.5703125" style="2" bestFit="1" customWidth="1"/>
    <col min="50" max="16384" width="9.140625" style="2"/>
  </cols>
  <sheetData>
    <row r="1" spans="1:47" customFormat="1" ht="34.5" x14ac:dyDescent="0.45">
      <c r="A1" s="1" t="s">
        <v>2</v>
      </c>
    </row>
    <row r="2" spans="1:47" s="19" customFormat="1" x14ac:dyDescent="0.2">
      <c r="A2" s="19" t="s">
        <v>0</v>
      </c>
      <c r="B2" s="19">
        <v>44282</v>
      </c>
      <c r="C2" s="19">
        <v>44373</v>
      </c>
      <c r="D2" s="19">
        <v>44464</v>
      </c>
      <c r="E2" s="19">
        <v>44555</v>
      </c>
      <c r="F2" s="19">
        <v>44646</v>
      </c>
      <c r="G2" s="19">
        <v>44737</v>
      </c>
      <c r="H2" s="19">
        <v>44828</v>
      </c>
      <c r="I2" s="19">
        <v>44926</v>
      </c>
      <c r="J2" s="19">
        <v>45017</v>
      </c>
      <c r="K2" s="19">
        <v>45108</v>
      </c>
      <c r="L2" s="19">
        <v>45199</v>
      </c>
      <c r="M2" s="19">
        <v>45290</v>
      </c>
      <c r="N2" s="19">
        <v>45381</v>
      </c>
      <c r="O2" s="19">
        <v>45473</v>
      </c>
      <c r="P2" s="19">
        <v>45563</v>
      </c>
      <c r="Q2" s="19">
        <v>45654</v>
      </c>
    </row>
    <row r="3" spans="1:47" s="6" customFormat="1" x14ac:dyDescent="0.2">
      <c r="A3" t="s">
        <v>1</v>
      </c>
      <c r="B3" s="6" t="s">
        <v>25</v>
      </c>
      <c r="C3" s="6" t="s">
        <v>26</v>
      </c>
      <c r="D3" s="6" t="s">
        <v>27</v>
      </c>
      <c r="E3" s="6" t="s">
        <v>28</v>
      </c>
      <c r="F3" s="6" t="s">
        <v>29</v>
      </c>
      <c r="G3" s="6" t="s">
        <v>30</v>
      </c>
      <c r="H3" s="6" t="s">
        <v>31</v>
      </c>
      <c r="I3" s="6" t="s">
        <v>32</v>
      </c>
      <c r="J3" s="6" t="s">
        <v>33</v>
      </c>
      <c r="K3" s="6" t="s">
        <v>34</v>
      </c>
      <c r="L3" s="6" t="s">
        <v>35</v>
      </c>
      <c r="M3" s="6" t="s">
        <v>36</v>
      </c>
      <c r="N3" s="6" t="s">
        <v>37</v>
      </c>
      <c r="O3" s="6" t="s">
        <v>38</v>
      </c>
      <c r="P3" s="6" t="s">
        <v>150</v>
      </c>
      <c r="Q3" s="6" t="s">
        <v>185</v>
      </c>
      <c r="U3" s="6">
        <v>2013</v>
      </c>
      <c r="V3" s="6">
        <f>+U3+1</f>
        <v>2014</v>
      </c>
      <c r="W3" s="6">
        <f t="shared" ref="W3:AP3" si="0">+V3+1</f>
        <v>2015</v>
      </c>
      <c r="X3" s="6">
        <f t="shared" si="0"/>
        <v>2016</v>
      </c>
      <c r="Y3" s="6">
        <f t="shared" si="0"/>
        <v>2017</v>
      </c>
      <c r="Z3" s="6">
        <f t="shared" si="0"/>
        <v>2018</v>
      </c>
      <c r="AA3" s="6">
        <f t="shared" si="0"/>
        <v>2019</v>
      </c>
      <c r="AB3" s="6">
        <f t="shared" si="0"/>
        <v>2020</v>
      </c>
      <c r="AC3" s="6">
        <f t="shared" si="0"/>
        <v>2021</v>
      </c>
      <c r="AD3" s="6">
        <f t="shared" si="0"/>
        <v>2022</v>
      </c>
      <c r="AE3" s="6">
        <f t="shared" si="0"/>
        <v>2023</v>
      </c>
      <c r="AF3" s="6">
        <f t="shared" si="0"/>
        <v>2024</v>
      </c>
      <c r="AG3" s="6">
        <f t="shared" si="0"/>
        <v>2025</v>
      </c>
      <c r="AH3" s="6">
        <f t="shared" si="0"/>
        <v>2026</v>
      </c>
      <c r="AI3" s="6">
        <f t="shared" si="0"/>
        <v>2027</v>
      </c>
      <c r="AJ3" s="6">
        <f t="shared" si="0"/>
        <v>2028</v>
      </c>
      <c r="AK3" s="6">
        <f t="shared" si="0"/>
        <v>2029</v>
      </c>
      <c r="AL3" s="6">
        <f t="shared" si="0"/>
        <v>2030</v>
      </c>
      <c r="AM3" s="6">
        <f t="shared" si="0"/>
        <v>2031</v>
      </c>
      <c r="AN3" s="6">
        <f t="shared" si="0"/>
        <v>2032</v>
      </c>
      <c r="AO3" s="6">
        <f t="shared" si="0"/>
        <v>2033</v>
      </c>
      <c r="AP3" s="6">
        <f t="shared" si="0"/>
        <v>2034</v>
      </c>
      <c r="AQ3" s="6">
        <f t="shared" ref="AQ3" si="1">+AP3+1</f>
        <v>2035</v>
      </c>
      <c r="AR3" s="6">
        <f t="shared" ref="AR3" si="2">+AQ3+1</f>
        <v>2036</v>
      </c>
      <c r="AS3" s="6">
        <f t="shared" ref="AS3" si="3">+AR3+1</f>
        <v>2037</v>
      </c>
      <c r="AT3" s="6">
        <f t="shared" ref="AT3" si="4">+AS3+1</f>
        <v>2038</v>
      </c>
      <c r="AU3" s="6">
        <f t="shared" ref="AU3" si="5">+AT3+1</f>
        <v>2039</v>
      </c>
    </row>
    <row r="4" spans="1:47" s="18" customFormat="1" x14ac:dyDescent="0.2">
      <c r="A4" s="17" t="s">
        <v>39</v>
      </c>
    </row>
    <row r="5" spans="1:47" s="10" customFormat="1" x14ac:dyDescent="0.2">
      <c r="A5" s="2" t="s">
        <v>9</v>
      </c>
      <c r="C5" s="10">
        <v>813</v>
      </c>
      <c r="D5" s="10">
        <v>1108</v>
      </c>
      <c r="E5" s="10">
        <v>1163</v>
      </c>
      <c r="F5" s="10">
        <v>1293</v>
      </c>
      <c r="G5" s="10">
        <v>1486</v>
      </c>
      <c r="H5" s="10">
        <v>1609</v>
      </c>
      <c r="I5" s="10">
        <v>1655</v>
      </c>
      <c r="J5" s="10">
        <v>1295</v>
      </c>
      <c r="K5" s="10">
        <v>1321</v>
      </c>
      <c r="L5" s="10">
        <v>1598</v>
      </c>
      <c r="M5" s="10">
        <v>2282</v>
      </c>
      <c r="N5" s="10">
        <v>2337</v>
      </c>
      <c r="O5" s="10">
        <v>2834</v>
      </c>
      <c r="P5" s="10">
        <v>3549</v>
      </c>
    </row>
    <row r="6" spans="1:47" s="10" customFormat="1" x14ac:dyDescent="0.2">
      <c r="A6" s="2" t="s">
        <v>14</v>
      </c>
      <c r="C6" s="10">
        <v>204</v>
      </c>
      <c r="D6" s="10">
        <v>308</v>
      </c>
      <c r="E6" s="10">
        <v>369</v>
      </c>
      <c r="F6" s="10">
        <v>427</v>
      </c>
      <c r="G6" s="10">
        <v>472</v>
      </c>
      <c r="H6" s="10">
        <v>505</v>
      </c>
      <c r="I6" s="10">
        <v>444</v>
      </c>
      <c r="J6" s="10">
        <v>148</v>
      </c>
      <c r="K6" s="10">
        <v>147</v>
      </c>
      <c r="L6" s="10">
        <v>306</v>
      </c>
      <c r="M6" s="10">
        <v>666</v>
      </c>
      <c r="N6" s="10">
        <v>541</v>
      </c>
      <c r="O6" s="10">
        <v>743</v>
      </c>
      <c r="P6" s="10">
        <v>1041</v>
      </c>
    </row>
    <row r="7" spans="1:47" s="16" customFormat="1" x14ac:dyDescent="0.2">
      <c r="A7" s="4" t="s">
        <v>151</v>
      </c>
      <c r="C7" s="16">
        <f>+C5/$C$28</f>
        <v>0.21116883116883117</v>
      </c>
      <c r="D7" s="16">
        <f>+D5/$D$28</f>
        <v>0.25689775098539303</v>
      </c>
      <c r="E7" s="16">
        <f>+E5/$E$28</f>
        <v>0.24098632407791132</v>
      </c>
      <c r="F7" s="16">
        <f>+F5/$F$28</f>
        <v>0.21963648717513165</v>
      </c>
      <c r="G7" s="16">
        <f>+G5/$G$28</f>
        <v>0.22687022900763359</v>
      </c>
      <c r="H7" s="16">
        <f>+H5/$H$28</f>
        <v>0.28912848158131177</v>
      </c>
      <c r="I7" s="16">
        <f>+I5/$I$28</f>
        <v>0.29558849794606179</v>
      </c>
      <c r="J7" s="16">
        <f>+J5/$J$28</f>
        <v>0.24192041845694004</v>
      </c>
      <c r="K7" s="16">
        <f>+K5/$K$28</f>
        <v>0.24650121291285687</v>
      </c>
      <c r="L7" s="16">
        <f>+L5/$L$28</f>
        <v>0.27551724137931033</v>
      </c>
      <c r="M7" s="16">
        <f>+M5/$M$28</f>
        <v>0.36997405966277563</v>
      </c>
      <c r="N7" s="16">
        <f>+N5/$N$28</f>
        <v>0.42700529873926546</v>
      </c>
      <c r="O7" s="16">
        <f>+O5/$O$28</f>
        <v>0.48568980291345332</v>
      </c>
      <c r="P7" s="16">
        <f>+P5/$P$28</f>
        <v>0.52045754509458864</v>
      </c>
    </row>
    <row r="8" spans="1:47" s="16" customFormat="1" x14ac:dyDescent="0.2">
      <c r="A8" s="4" t="s">
        <v>128</v>
      </c>
      <c r="G8" s="16">
        <f>+G5/C5-1</f>
        <v>0.82779827798277972</v>
      </c>
      <c r="H8" s="16">
        <f>+H5/D5-1</f>
        <v>0.45216606498194944</v>
      </c>
      <c r="I8" s="16">
        <f>+I5/E5-1</f>
        <v>0.42304385210662088</v>
      </c>
      <c r="J8" s="16">
        <f>+J5/F5-1</f>
        <v>1.5467904098993568E-3</v>
      </c>
      <c r="K8" s="16">
        <f t="shared" ref="K8:L8" si="6">+K5/G5-1</f>
        <v>-0.11103633916554512</v>
      </c>
      <c r="L8" s="16">
        <f t="shared" si="6"/>
        <v>-6.836544437538894E-3</v>
      </c>
      <c r="M8" s="16">
        <f>+M5/I5-1</f>
        <v>0.37885196374622354</v>
      </c>
      <c r="N8" s="16">
        <f>+N5/J5-1</f>
        <v>0.80463320463320454</v>
      </c>
      <c r="O8" s="16">
        <f>+O5/K5-1</f>
        <v>1.1453444360333083</v>
      </c>
      <c r="P8" s="16">
        <f>+P5/L5-1</f>
        <v>1.2209011264080099</v>
      </c>
    </row>
    <row r="9" spans="1:47" s="18" customFormat="1" x14ac:dyDescent="0.2">
      <c r="A9" s="17" t="s">
        <v>124</v>
      </c>
    </row>
    <row r="10" spans="1:47" s="10" customFormat="1" x14ac:dyDescent="0.2">
      <c r="A10" s="2" t="s">
        <v>9</v>
      </c>
      <c r="C10" s="10">
        <v>1728</v>
      </c>
      <c r="D10" s="10">
        <v>1692</v>
      </c>
      <c r="E10" s="10">
        <v>1829</v>
      </c>
      <c r="F10" s="10">
        <v>2124</v>
      </c>
      <c r="G10" s="10">
        <v>2152</v>
      </c>
      <c r="H10" s="10">
        <v>1022</v>
      </c>
      <c r="I10" s="10">
        <v>903</v>
      </c>
      <c r="J10" s="10">
        <v>739</v>
      </c>
      <c r="K10" s="10">
        <v>998</v>
      </c>
      <c r="L10" s="10">
        <v>1453</v>
      </c>
      <c r="M10" s="10">
        <v>1461</v>
      </c>
      <c r="N10" s="10">
        <v>1368</v>
      </c>
      <c r="O10" s="10">
        <v>1492</v>
      </c>
      <c r="P10" s="10">
        <v>1881</v>
      </c>
    </row>
    <row r="11" spans="1:47" s="10" customFormat="1" x14ac:dyDescent="0.2">
      <c r="A11" s="2" t="s">
        <v>14</v>
      </c>
      <c r="C11" s="10">
        <v>538</v>
      </c>
      <c r="D11" s="10">
        <v>490</v>
      </c>
      <c r="E11" s="10">
        <v>530</v>
      </c>
      <c r="F11" s="10">
        <v>692</v>
      </c>
      <c r="G11" s="10">
        <v>676</v>
      </c>
      <c r="H11" s="10">
        <v>-26</v>
      </c>
      <c r="I11" s="10">
        <v>-152</v>
      </c>
      <c r="J11" s="10">
        <v>-172</v>
      </c>
      <c r="K11" s="10">
        <v>-69</v>
      </c>
      <c r="L11" s="10">
        <v>140</v>
      </c>
      <c r="M11" s="10">
        <v>55</v>
      </c>
      <c r="N11" s="10">
        <v>86</v>
      </c>
      <c r="O11" s="10">
        <v>89</v>
      </c>
      <c r="P11" s="10">
        <v>276</v>
      </c>
    </row>
    <row r="12" spans="1:47" s="16" customFormat="1" x14ac:dyDescent="0.2">
      <c r="A12" s="4" t="s">
        <v>151</v>
      </c>
      <c r="C12" s="16">
        <f>+C10/$C$28</f>
        <v>0.44883116883116886</v>
      </c>
      <c r="D12" s="16">
        <f>+D10/$D$28</f>
        <v>0.39230234175747741</v>
      </c>
      <c r="E12" s="16">
        <f>+E10/$E$28</f>
        <v>0.37898881060920014</v>
      </c>
      <c r="F12" s="16">
        <f>+F10/$F$28</f>
        <v>0.360794971972142</v>
      </c>
      <c r="G12" s="16">
        <f>+G10/$G$28</f>
        <v>0.32854961832061069</v>
      </c>
      <c r="H12" s="16">
        <f>+H10/$H$28</f>
        <v>0.18364779874213835</v>
      </c>
      <c r="I12" s="16">
        <f>+I10/$I$28</f>
        <v>0.16127879978567602</v>
      </c>
      <c r="J12" s="16">
        <f>+J10/$J$28</f>
        <v>0.13805342798430786</v>
      </c>
      <c r="K12" s="16">
        <f>+K10/$K$28</f>
        <v>0.18622877402500468</v>
      </c>
      <c r="L12" s="16">
        <f>+L10/$L$28</f>
        <v>0.25051724137931036</v>
      </c>
      <c r="M12" s="16">
        <f>+M10/$M$28</f>
        <v>0.23686770428015563</v>
      </c>
      <c r="N12" s="16">
        <f>+N10/$N$28</f>
        <v>0.24995432121322858</v>
      </c>
      <c r="O12" s="16">
        <f>+O10/$O$28</f>
        <v>0.25569837189374467</v>
      </c>
      <c r="P12" s="16">
        <f>+P10/$P$28</f>
        <v>0.27584689837219534</v>
      </c>
    </row>
    <row r="13" spans="1:47" s="16" customFormat="1" x14ac:dyDescent="0.2">
      <c r="A13" s="4" t="s">
        <v>128</v>
      </c>
      <c r="G13" s="16">
        <f>+G10/C10-1</f>
        <v>0.24537037037037046</v>
      </c>
      <c r="H13" s="16">
        <f>+H10/D10-1</f>
        <v>-0.39598108747044913</v>
      </c>
      <c r="I13" s="16">
        <f>+I10/E10-1</f>
        <v>-0.50628758884636416</v>
      </c>
      <c r="J13" s="16">
        <f>+J10/F10-1</f>
        <v>-0.65207156308851222</v>
      </c>
      <c r="K13" s="16">
        <f t="shared" ref="K13:L13" si="7">+K10/G10-1</f>
        <v>-0.53624535315985122</v>
      </c>
      <c r="L13" s="16">
        <f t="shared" si="7"/>
        <v>0.42172211350293543</v>
      </c>
      <c r="M13" s="16">
        <f>+M10/I10-1</f>
        <v>0.61794019933554822</v>
      </c>
      <c r="N13" s="16">
        <f>+N10/J10-1</f>
        <v>0.85115020297699595</v>
      </c>
      <c r="O13" s="16">
        <f>+O10/K10-1</f>
        <v>0.49498997995991978</v>
      </c>
      <c r="P13" s="16">
        <f>+P10/L10-1</f>
        <v>0.29456297315898139</v>
      </c>
    </row>
    <row r="14" spans="1:47" s="18" customFormat="1" x14ac:dyDescent="0.2">
      <c r="A14" s="17" t="s">
        <v>125</v>
      </c>
    </row>
    <row r="15" spans="1:47" s="10" customFormat="1" x14ac:dyDescent="0.2">
      <c r="A15" s="2" t="s">
        <v>9</v>
      </c>
      <c r="C15" s="10">
        <v>1255</v>
      </c>
      <c r="D15" s="10">
        <v>1434</v>
      </c>
      <c r="E15" s="10">
        <v>1763</v>
      </c>
      <c r="F15" s="10">
        <v>1875</v>
      </c>
      <c r="G15" s="10">
        <v>1655</v>
      </c>
      <c r="H15" s="10">
        <v>1631</v>
      </c>
      <c r="I15" s="10">
        <v>1644</v>
      </c>
      <c r="J15" s="10">
        <v>1757</v>
      </c>
      <c r="K15" s="10">
        <v>1581</v>
      </c>
      <c r="L15" s="10">
        <v>1506</v>
      </c>
      <c r="M15" s="10">
        <v>1368</v>
      </c>
      <c r="N15" s="10">
        <v>922</v>
      </c>
      <c r="O15" s="10">
        <v>648</v>
      </c>
      <c r="P15" s="10">
        <v>462</v>
      </c>
    </row>
    <row r="16" spans="1:47" s="10" customFormat="1" x14ac:dyDescent="0.2">
      <c r="A16" s="2" t="s">
        <v>14</v>
      </c>
      <c r="C16" s="10">
        <v>175</v>
      </c>
      <c r="D16" s="10">
        <v>231</v>
      </c>
      <c r="E16" s="10">
        <v>407</v>
      </c>
      <c r="F16" s="10">
        <v>358</v>
      </c>
      <c r="G16" s="10">
        <v>187</v>
      </c>
      <c r="H16" s="10">
        <v>142</v>
      </c>
      <c r="I16" s="10">
        <v>266</v>
      </c>
      <c r="J16" s="10">
        <v>314</v>
      </c>
      <c r="K16" s="10">
        <v>225</v>
      </c>
      <c r="L16" s="10">
        <v>208</v>
      </c>
      <c r="M16" s="10">
        <v>224</v>
      </c>
      <c r="N16" s="10">
        <v>151</v>
      </c>
      <c r="O16" s="10">
        <v>77</v>
      </c>
      <c r="P16" s="10">
        <v>12</v>
      </c>
    </row>
    <row r="17" spans="1:50" s="16" customFormat="1" x14ac:dyDescent="0.2">
      <c r="A17" s="4" t="s">
        <v>151</v>
      </c>
      <c r="C17" s="16">
        <f>+C15/$C$28</f>
        <v>0.32597402597402597</v>
      </c>
      <c r="D17" s="16">
        <f>+D15/$D$28</f>
        <v>0.3324831903547415</v>
      </c>
      <c r="E17" s="16">
        <f>+E15/$E$28</f>
        <v>0.36531288852051386</v>
      </c>
      <c r="F17" s="16">
        <f>+F15/$F$28</f>
        <v>0.31849838627484289</v>
      </c>
      <c r="G17" s="16">
        <f>+G15/$G$28</f>
        <v>0.25267175572519085</v>
      </c>
      <c r="H17" s="16">
        <f>+H15/$H$28</f>
        <v>0.2930817610062893</v>
      </c>
      <c r="I17" s="16">
        <f>+I15/$I$28</f>
        <v>0.29362386140382213</v>
      </c>
      <c r="J17" s="16">
        <f>+J15/$J$28</f>
        <v>0.32822716233887539</v>
      </c>
      <c r="K17" s="16">
        <f>+K15/$K$28</f>
        <v>0.2950177271879082</v>
      </c>
      <c r="L17" s="16">
        <f>+L15/$L$28</f>
        <v>0.2596551724137931</v>
      </c>
      <c r="M17" s="16">
        <f>+M15/$M$28</f>
        <v>0.22178988326848248</v>
      </c>
      <c r="N17" s="16">
        <f>+N15/$N$28</f>
        <v>0.16846336561300931</v>
      </c>
      <c r="O17" s="16">
        <f>+O15/$O$28</f>
        <v>0.11105398457583547</v>
      </c>
      <c r="P17" s="16">
        <f>+P15/$P$28</f>
        <v>6.775186977562693E-2</v>
      </c>
    </row>
    <row r="18" spans="1:50" s="16" customFormat="1" x14ac:dyDescent="0.2">
      <c r="A18" s="4" t="s">
        <v>128</v>
      </c>
      <c r="G18" s="16">
        <f>+G15/C15-1</f>
        <v>0.31872509960159356</v>
      </c>
      <c r="H18" s="16">
        <f>+H15/D15-1</f>
        <v>0.13737796373779632</v>
      </c>
      <c r="I18" s="16">
        <f>+I15/E15-1</f>
        <v>-6.7498581962563864E-2</v>
      </c>
      <c r="J18" s="16">
        <f>+J15/F15-1</f>
        <v>-6.2933333333333286E-2</v>
      </c>
      <c r="K18" s="16">
        <f t="shared" ref="K18:L18" si="8">+K15/G15-1</f>
        <v>-4.4712990936555896E-2</v>
      </c>
      <c r="L18" s="16">
        <f t="shared" si="8"/>
        <v>-7.6640098099325593E-2</v>
      </c>
      <c r="M18" s="16">
        <f>+M15/I15-1</f>
        <v>-0.16788321167883213</v>
      </c>
      <c r="N18" s="16">
        <f>+N15/J15-1</f>
        <v>-0.47524188958451907</v>
      </c>
      <c r="O18" s="16">
        <f>+O15/K15-1</f>
        <v>-0.59013282732447814</v>
      </c>
      <c r="P18" s="16">
        <f>+P15/L15-1</f>
        <v>-0.69322709163346619</v>
      </c>
    </row>
    <row r="19" spans="1:50" s="18" customFormat="1" x14ac:dyDescent="0.2">
      <c r="A19" s="17" t="s">
        <v>126</v>
      </c>
    </row>
    <row r="20" spans="1:50" s="10" customFormat="1" x14ac:dyDescent="0.2">
      <c r="A20" s="2" t="s">
        <v>9</v>
      </c>
      <c r="C20" s="10">
        <v>54</v>
      </c>
      <c r="D20" s="10">
        <v>79</v>
      </c>
      <c r="E20" s="10">
        <v>71</v>
      </c>
      <c r="F20" s="10">
        <v>595</v>
      </c>
      <c r="G20" s="10">
        <v>1257</v>
      </c>
      <c r="H20" s="10">
        <v>1303</v>
      </c>
      <c r="I20" s="10">
        <v>1397</v>
      </c>
      <c r="J20" s="10">
        <v>1562</v>
      </c>
      <c r="K20" s="10">
        <v>1459</v>
      </c>
      <c r="L20" s="10">
        <v>1243</v>
      </c>
      <c r="M20" s="10">
        <v>1057</v>
      </c>
      <c r="N20" s="10">
        <v>846</v>
      </c>
      <c r="O20" s="10">
        <v>861</v>
      </c>
      <c r="P20" s="10">
        <v>927</v>
      </c>
    </row>
    <row r="21" spans="1:50" s="10" customFormat="1" x14ac:dyDescent="0.2">
      <c r="A21" s="2" t="s">
        <v>14</v>
      </c>
      <c r="C21" s="10">
        <v>6</v>
      </c>
      <c r="D21" s="10">
        <v>23</v>
      </c>
      <c r="E21" s="10">
        <v>18</v>
      </c>
      <c r="F21" s="10">
        <v>277</v>
      </c>
      <c r="G21" s="10">
        <v>641</v>
      </c>
      <c r="H21" s="10">
        <v>635</v>
      </c>
      <c r="I21" s="10">
        <v>699</v>
      </c>
      <c r="J21" s="10">
        <v>798</v>
      </c>
      <c r="K21" s="10">
        <v>757</v>
      </c>
      <c r="L21" s="10">
        <v>612</v>
      </c>
      <c r="M21" s="10">
        <v>461</v>
      </c>
      <c r="N21" s="10">
        <v>342</v>
      </c>
      <c r="O21" s="10">
        <v>345</v>
      </c>
      <c r="P21" s="10">
        <v>372</v>
      </c>
    </row>
    <row r="22" spans="1:50" s="16" customFormat="1" x14ac:dyDescent="0.2">
      <c r="A22" s="4" t="s">
        <v>151</v>
      </c>
      <c r="C22" s="16">
        <f>+C20/$C$28</f>
        <v>1.4025974025974027E-2</v>
      </c>
      <c r="D22" s="16">
        <f>+D20/$D$28</f>
        <v>1.831671690238813E-2</v>
      </c>
      <c r="E22" s="16">
        <f>+E20/$E$28</f>
        <v>1.4711976792374638E-2</v>
      </c>
      <c r="F22" s="16">
        <f>+F20/$F$28</f>
        <v>0.10107015457788347</v>
      </c>
      <c r="G22" s="16">
        <f>+G20/$G$28</f>
        <v>0.19190839694656489</v>
      </c>
      <c r="H22" s="16">
        <f>+H20/$H$28</f>
        <v>0.23414195867026055</v>
      </c>
      <c r="I22" s="16">
        <f>+I20/$I$28</f>
        <v>0.24950884086444008</v>
      </c>
      <c r="J22" s="16">
        <f>+J20/$J$28</f>
        <v>0.29179899121987668</v>
      </c>
      <c r="K22" s="16">
        <f>+K20/$K$28</f>
        <v>0.27225228587423028</v>
      </c>
      <c r="L22" s="16">
        <f>+L20/$L$28</f>
        <v>0.21431034482758621</v>
      </c>
      <c r="M22" s="16">
        <f>+M20/$M$28</f>
        <v>0.17136835278858625</v>
      </c>
      <c r="N22" s="16">
        <f>+N20/$N$28</f>
        <v>0.15457701443449662</v>
      </c>
      <c r="O22" s="16">
        <f>+O20/$O$28</f>
        <v>0.14755784061696658</v>
      </c>
      <c r="P22" s="16">
        <f>+P20/$P$28</f>
        <v>0.13594368675758908</v>
      </c>
    </row>
    <row r="23" spans="1:50" s="16" customFormat="1" x14ac:dyDescent="0.2">
      <c r="A23" s="4" t="s">
        <v>128</v>
      </c>
      <c r="G23" s="16">
        <f>+G20/C20-1</f>
        <v>22.277777777777779</v>
      </c>
      <c r="H23" s="16">
        <f>+H20/D20-1</f>
        <v>15.49367088607595</v>
      </c>
      <c r="I23" s="16">
        <f>+I20/E20-1</f>
        <v>18.676056338028168</v>
      </c>
      <c r="J23" s="16">
        <f>+J20/F20-1</f>
        <v>1.6252100840336134</v>
      </c>
      <c r="K23" s="16">
        <f t="shared" ref="K23:L23" si="9">+K20/G20-1</f>
        <v>0.16070007955449483</v>
      </c>
      <c r="L23" s="16">
        <f t="shared" si="9"/>
        <v>-4.6047582501918649E-2</v>
      </c>
      <c r="M23" s="16">
        <f>+M20/I20-1</f>
        <v>-0.24337866857551893</v>
      </c>
      <c r="N23" s="16">
        <f>+N20/J20-1</f>
        <v>-0.45838668373879643</v>
      </c>
      <c r="O23" s="16">
        <f>+O20/K20-1</f>
        <v>-0.4098697738176833</v>
      </c>
      <c r="P23" s="16">
        <f>+P20/L20-1</f>
        <v>-0.2542236524537409</v>
      </c>
    </row>
    <row r="24" spans="1:50" s="18" customFormat="1" x14ac:dyDescent="0.2">
      <c r="A24" s="17" t="s">
        <v>127</v>
      </c>
    </row>
    <row r="25" spans="1:50" s="10" customFormat="1" x14ac:dyDescent="0.2">
      <c r="A25" s="2" t="s">
        <v>9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</row>
    <row r="26" spans="1:50" s="10" customFormat="1" x14ac:dyDescent="0.2">
      <c r="A26" s="2" t="s">
        <v>14</v>
      </c>
      <c r="C26" s="10">
        <v>-92</v>
      </c>
      <c r="D26" s="10">
        <v>-104</v>
      </c>
      <c r="E26" s="10">
        <v>-117</v>
      </c>
      <c r="F26" s="10">
        <v>-803</v>
      </c>
      <c r="G26" s="10">
        <v>-1450</v>
      </c>
      <c r="H26" s="10">
        <v>-1320</v>
      </c>
      <c r="I26" s="10">
        <v>-1406</v>
      </c>
      <c r="J26" s="10">
        <v>-1233</v>
      </c>
      <c r="K26" s="10">
        <v>-1080</v>
      </c>
      <c r="L26" s="10">
        <v>-1042</v>
      </c>
      <c r="M26" s="10">
        <v>-1064</v>
      </c>
      <c r="N26" s="10">
        <v>-1084</v>
      </c>
      <c r="O26" s="10">
        <v>-985</v>
      </c>
      <c r="P26" s="10">
        <v>-977</v>
      </c>
    </row>
    <row r="27" spans="1:50" s="10" customFormat="1" x14ac:dyDescent="0.2">
      <c r="A27" s="2"/>
    </row>
    <row r="28" spans="1:50" s="7" customFormat="1" x14ac:dyDescent="0.2">
      <c r="A28" s="3" t="s">
        <v>9</v>
      </c>
      <c r="B28" s="7">
        <v>3445</v>
      </c>
      <c r="C28" s="7">
        <v>3850</v>
      </c>
      <c r="D28" s="7">
        <v>4313</v>
      </c>
      <c r="E28" s="7">
        <v>4826</v>
      </c>
      <c r="F28" s="7">
        <v>5887</v>
      </c>
      <c r="G28" s="7">
        <v>6550</v>
      </c>
      <c r="H28" s="7">
        <v>5565</v>
      </c>
      <c r="I28" s="7">
        <v>5599</v>
      </c>
      <c r="J28" s="7">
        <v>5353</v>
      </c>
      <c r="K28" s="7">
        <v>5359</v>
      </c>
      <c r="L28" s="7">
        <v>5800</v>
      </c>
      <c r="M28" s="7">
        <v>6168</v>
      </c>
      <c r="N28" s="7">
        <v>5473</v>
      </c>
      <c r="O28" s="7">
        <v>5835</v>
      </c>
      <c r="P28" s="7">
        <v>6819</v>
      </c>
      <c r="Q28" s="7">
        <v>7658</v>
      </c>
      <c r="S28" s="4">
        <f>+(AF28/U28)^(1/$T$28)-1</f>
        <v>0.14094427809958665</v>
      </c>
      <c r="T28" s="2">
        <v>12</v>
      </c>
      <c r="U28" s="7">
        <v>5299</v>
      </c>
      <c r="V28" s="7">
        <v>5506</v>
      </c>
      <c r="W28" s="7">
        <v>3991</v>
      </c>
      <c r="X28" s="7">
        <v>4272</v>
      </c>
      <c r="Y28" s="7">
        <v>5329</v>
      </c>
      <c r="Z28" s="7">
        <v>6475</v>
      </c>
      <c r="AA28" s="7">
        <v>6731</v>
      </c>
      <c r="AB28" s="7">
        <v>9763</v>
      </c>
      <c r="AC28" s="7">
        <v>16434</v>
      </c>
      <c r="AD28" s="7">
        <v>23601</v>
      </c>
      <c r="AE28" s="7">
        <v>22680</v>
      </c>
      <c r="AF28" s="7">
        <f>+SUM(N28:Q28)</f>
        <v>25785</v>
      </c>
      <c r="AG28" s="7">
        <f>+AF28*1.15</f>
        <v>29652.749999999996</v>
      </c>
      <c r="AH28" s="7">
        <f t="shared" ref="AH28:AU28" si="10">+AG28*1.15</f>
        <v>34100.662499999991</v>
      </c>
      <c r="AI28" s="7">
        <f t="shared" si="10"/>
        <v>39215.761874999989</v>
      </c>
      <c r="AJ28" s="7">
        <f t="shared" si="10"/>
        <v>45098.126156249986</v>
      </c>
      <c r="AK28" s="7">
        <f t="shared" si="10"/>
        <v>51862.845079687482</v>
      </c>
      <c r="AL28" s="7">
        <f t="shared" si="10"/>
        <v>59642.271841640599</v>
      </c>
      <c r="AM28" s="7">
        <f t="shared" si="10"/>
        <v>68588.612617886683</v>
      </c>
      <c r="AN28" s="7">
        <f t="shared" si="10"/>
        <v>78876.904510569686</v>
      </c>
      <c r="AO28" s="7">
        <f t="shared" si="10"/>
        <v>90708.440187155138</v>
      </c>
      <c r="AP28" s="7">
        <f t="shared" si="10"/>
        <v>104314.70621522841</v>
      </c>
      <c r="AQ28" s="7">
        <f t="shared" si="10"/>
        <v>119961.91214751266</v>
      </c>
      <c r="AR28" s="7">
        <f t="shared" si="10"/>
        <v>137956.19896963955</v>
      </c>
      <c r="AS28" s="7">
        <f t="shared" si="10"/>
        <v>158649.62881508545</v>
      </c>
      <c r="AT28" s="7">
        <f t="shared" si="10"/>
        <v>182447.07313734826</v>
      </c>
      <c r="AU28" s="7">
        <f t="shared" si="10"/>
        <v>209814.13410795046</v>
      </c>
      <c r="AW28" s="2" t="s">
        <v>163</v>
      </c>
      <c r="AX28" s="4">
        <v>0.03</v>
      </c>
    </row>
    <row r="29" spans="1:50" x14ac:dyDescent="0.2">
      <c r="A29" t="s">
        <v>10</v>
      </c>
      <c r="B29" s="2">
        <v>1858</v>
      </c>
      <c r="C29" s="2">
        <v>2020</v>
      </c>
      <c r="D29" s="2">
        <v>2227</v>
      </c>
      <c r="E29" s="2">
        <v>2400</v>
      </c>
      <c r="F29" s="2">
        <v>2883</v>
      </c>
      <c r="G29" s="2">
        <v>3115</v>
      </c>
      <c r="H29" s="2">
        <v>2799</v>
      </c>
      <c r="I29" s="2">
        <v>2753</v>
      </c>
      <c r="J29" s="2">
        <v>2689</v>
      </c>
      <c r="K29" s="2">
        <v>2704</v>
      </c>
      <c r="L29" s="2">
        <v>2843</v>
      </c>
      <c r="M29" s="2">
        <v>2843</v>
      </c>
      <c r="N29" s="2">
        <v>2683</v>
      </c>
      <c r="O29" s="2">
        <v>2740</v>
      </c>
      <c r="P29" s="2">
        <v>3167</v>
      </c>
      <c r="Q29" s="2">
        <v>3524</v>
      </c>
      <c r="S29" s="4">
        <f>+(AF29/U29)^(1/$T$28)-1</f>
        <v>0.11387098474360613</v>
      </c>
      <c r="U29" s="2">
        <v>3321</v>
      </c>
      <c r="V29" s="2">
        <v>3667</v>
      </c>
      <c r="W29" s="2">
        <v>2911</v>
      </c>
      <c r="X29" s="2">
        <v>3274</v>
      </c>
      <c r="Y29" s="2">
        <v>3506</v>
      </c>
      <c r="Z29" s="2">
        <v>4028</v>
      </c>
      <c r="AA29" s="2">
        <v>3863</v>
      </c>
      <c r="AB29" s="2">
        <v>5416</v>
      </c>
      <c r="AC29" s="2">
        <v>8505</v>
      </c>
      <c r="AD29" s="2">
        <v>11550</v>
      </c>
      <c r="AE29" s="2">
        <v>11278</v>
      </c>
      <c r="AF29" s="2">
        <f>+SUM(N29:Q29)</f>
        <v>12114</v>
      </c>
      <c r="AG29" s="2">
        <f>+AG28-AG30</f>
        <v>13936.792499999998</v>
      </c>
      <c r="AH29" s="2">
        <f t="shared" ref="AH29:AU29" si="11">+AH28-AH30</f>
        <v>16027.311374999994</v>
      </c>
      <c r="AI29" s="2">
        <f t="shared" si="11"/>
        <v>18431.408081249992</v>
      </c>
      <c r="AJ29" s="2">
        <f t="shared" si="11"/>
        <v>21196.119293437492</v>
      </c>
      <c r="AK29" s="2">
        <f t="shared" si="11"/>
        <v>24375.537187453116</v>
      </c>
      <c r="AL29" s="2">
        <f t="shared" si="11"/>
        <v>28031.867765571078</v>
      </c>
      <c r="AM29" s="2">
        <f t="shared" si="11"/>
        <v>32236.64793040674</v>
      </c>
      <c r="AN29" s="2">
        <f t="shared" si="11"/>
        <v>37072.145119967747</v>
      </c>
      <c r="AO29" s="2">
        <f t="shared" si="11"/>
        <v>42632.96688796291</v>
      </c>
      <c r="AP29" s="2">
        <f t="shared" si="11"/>
        <v>49027.911921157349</v>
      </c>
      <c r="AQ29" s="2">
        <f t="shared" si="11"/>
        <v>56382.098709330945</v>
      </c>
      <c r="AR29" s="2">
        <f t="shared" si="11"/>
        <v>64839.413515730586</v>
      </c>
      <c r="AS29" s="2">
        <f t="shared" si="11"/>
        <v>74565.325543090163</v>
      </c>
      <c r="AT29" s="2">
        <f t="shared" si="11"/>
        <v>85750.124374553678</v>
      </c>
      <c r="AU29" s="2">
        <f t="shared" si="11"/>
        <v>98612.643030736712</v>
      </c>
      <c r="AW29" s="4" t="s">
        <v>161</v>
      </c>
      <c r="AX29" s="4">
        <v>-0.01</v>
      </c>
    </row>
    <row r="30" spans="1:50" x14ac:dyDescent="0.2">
      <c r="A30" t="s">
        <v>11</v>
      </c>
      <c r="B30" s="2">
        <f t="shared" ref="B30:N30" si="12">+B28-B29</f>
        <v>1587</v>
      </c>
      <c r="C30" s="2">
        <f t="shared" si="12"/>
        <v>1830</v>
      </c>
      <c r="D30" s="2">
        <f t="shared" si="12"/>
        <v>2086</v>
      </c>
      <c r="E30" s="2">
        <f t="shared" si="12"/>
        <v>2426</v>
      </c>
      <c r="F30" s="2">
        <f t="shared" si="12"/>
        <v>3004</v>
      </c>
      <c r="G30" s="2">
        <f t="shared" si="12"/>
        <v>3435</v>
      </c>
      <c r="H30" s="2">
        <f t="shared" si="12"/>
        <v>2766</v>
      </c>
      <c r="I30" s="2">
        <f t="shared" si="12"/>
        <v>2846</v>
      </c>
      <c r="J30" s="2">
        <f t="shared" si="12"/>
        <v>2664</v>
      </c>
      <c r="K30" s="2">
        <f t="shared" si="12"/>
        <v>2655</v>
      </c>
      <c r="L30" s="2">
        <f t="shared" si="12"/>
        <v>2957</v>
      </c>
      <c r="M30" s="2">
        <f t="shared" si="12"/>
        <v>3325</v>
      </c>
      <c r="N30" s="2">
        <f t="shared" si="12"/>
        <v>2790</v>
      </c>
      <c r="O30" s="2">
        <f>+O28-O29</f>
        <v>3095</v>
      </c>
      <c r="P30" s="2">
        <f>+P28-P29</f>
        <v>3652</v>
      </c>
      <c r="Q30" s="2">
        <f>+Q28-Q29</f>
        <v>4134</v>
      </c>
      <c r="S30" s="4"/>
      <c r="U30" s="2">
        <f t="shared" ref="U30:AF30" si="13">+U28-U29</f>
        <v>1978</v>
      </c>
      <c r="V30" s="2">
        <f t="shared" si="13"/>
        <v>1839</v>
      </c>
      <c r="W30" s="2">
        <f t="shared" si="13"/>
        <v>1080</v>
      </c>
      <c r="X30" s="2">
        <f t="shared" si="13"/>
        <v>998</v>
      </c>
      <c r="Y30" s="2">
        <f t="shared" si="13"/>
        <v>1823</v>
      </c>
      <c r="Z30" s="2">
        <f t="shared" si="13"/>
        <v>2447</v>
      </c>
      <c r="AA30" s="2">
        <f t="shared" si="13"/>
        <v>2868</v>
      </c>
      <c r="AB30" s="2">
        <f t="shared" si="13"/>
        <v>4347</v>
      </c>
      <c r="AC30" s="2">
        <f t="shared" si="13"/>
        <v>7929</v>
      </c>
      <c r="AD30" s="2">
        <f t="shared" si="13"/>
        <v>12051</v>
      </c>
      <c r="AE30" s="2">
        <f t="shared" si="13"/>
        <v>11402</v>
      </c>
      <c r="AF30" s="2">
        <f t="shared" si="13"/>
        <v>13671</v>
      </c>
      <c r="AG30" s="2">
        <f>+AG28*0.53</f>
        <v>15715.957499999999</v>
      </c>
      <c r="AH30" s="2">
        <f t="shared" ref="AH30:AU30" si="14">+AH28*0.53</f>
        <v>18073.351124999997</v>
      </c>
      <c r="AI30" s="2">
        <f t="shared" si="14"/>
        <v>20784.353793749997</v>
      </c>
      <c r="AJ30" s="2">
        <f t="shared" si="14"/>
        <v>23902.006862812494</v>
      </c>
      <c r="AK30" s="2">
        <f t="shared" si="14"/>
        <v>27487.307892234367</v>
      </c>
      <c r="AL30" s="2">
        <f t="shared" si="14"/>
        <v>31610.404076069521</v>
      </c>
      <c r="AM30" s="2">
        <f t="shared" si="14"/>
        <v>36351.964687479944</v>
      </c>
      <c r="AN30" s="2">
        <f t="shared" si="14"/>
        <v>41804.759390601939</v>
      </c>
      <c r="AO30" s="2">
        <f t="shared" si="14"/>
        <v>48075.473299192228</v>
      </c>
      <c r="AP30" s="2">
        <f t="shared" si="14"/>
        <v>55286.794294071056</v>
      </c>
      <c r="AQ30" s="2">
        <f t="shared" si="14"/>
        <v>63579.813438181714</v>
      </c>
      <c r="AR30" s="2">
        <f t="shared" si="14"/>
        <v>73116.78545390896</v>
      </c>
      <c r="AS30" s="2">
        <f t="shared" si="14"/>
        <v>84084.30327199529</v>
      </c>
      <c r="AT30" s="2">
        <f t="shared" si="14"/>
        <v>96696.948762794578</v>
      </c>
      <c r="AU30" s="2">
        <f t="shared" si="14"/>
        <v>111201.49107721375</v>
      </c>
      <c r="AW30" s="4" t="s">
        <v>162</v>
      </c>
      <c r="AX30" s="4">
        <v>0.12</v>
      </c>
    </row>
    <row r="31" spans="1:50" x14ac:dyDescent="0.2">
      <c r="A31" t="s">
        <v>12</v>
      </c>
      <c r="B31" s="2">
        <v>610</v>
      </c>
      <c r="C31" s="2">
        <v>659</v>
      </c>
      <c r="D31" s="2">
        <v>765</v>
      </c>
      <c r="E31" s="2">
        <v>811</v>
      </c>
      <c r="F31" s="2">
        <v>1060</v>
      </c>
      <c r="G31" s="2">
        <v>1300</v>
      </c>
      <c r="H31" s="2">
        <v>1279</v>
      </c>
      <c r="I31" s="2">
        <v>1366</v>
      </c>
      <c r="J31" s="2">
        <v>1411</v>
      </c>
      <c r="K31" s="2">
        <v>1443</v>
      </c>
      <c r="L31" s="2">
        <v>1507</v>
      </c>
      <c r="M31" s="2">
        <v>1511</v>
      </c>
      <c r="N31" s="2">
        <v>1525</v>
      </c>
      <c r="O31" s="2">
        <v>1583</v>
      </c>
      <c r="P31" s="2">
        <v>1636</v>
      </c>
      <c r="Q31" s="2">
        <v>1712</v>
      </c>
      <c r="S31" s="4">
        <f>+(AF31/U31)^(1/$T$28)-1</f>
        <v>0.15045166294493839</v>
      </c>
      <c r="U31" s="2">
        <v>1201</v>
      </c>
      <c r="V31" s="2">
        <v>1072</v>
      </c>
      <c r="W31" s="2">
        <v>947</v>
      </c>
      <c r="X31" s="2">
        <v>1008</v>
      </c>
      <c r="Y31" s="2">
        <v>1160</v>
      </c>
      <c r="Z31" s="2">
        <v>1434</v>
      </c>
      <c r="AA31" s="2">
        <v>1547</v>
      </c>
      <c r="AB31" s="2">
        <v>1983</v>
      </c>
      <c r="AC31" s="2">
        <v>2845</v>
      </c>
      <c r="AD31" s="2">
        <v>5005</v>
      </c>
      <c r="AE31" s="2">
        <v>5872</v>
      </c>
      <c r="AF31" s="2">
        <f>+SUM(N31:Q31)</f>
        <v>6456</v>
      </c>
      <c r="AG31" s="2">
        <f>+AG28*0.15</f>
        <v>4447.9124999999995</v>
      </c>
      <c r="AH31" s="2">
        <f t="shared" ref="AH31:AU31" si="15">+AH28*0.15</f>
        <v>5115.0993749999989</v>
      </c>
      <c r="AI31" s="2">
        <f t="shared" si="15"/>
        <v>5882.3642812499984</v>
      </c>
      <c r="AJ31" s="2">
        <f t="shared" si="15"/>
        <v>6764.7189234374973</v>
      </c>
      <c r="AK31" s="2">
        <f t="shared" si="15"/>
        <v>7779.426761953122</v>
      </c>
      <c r="AL31" s="2">
        <f t="shared" si="15"/>
        <v>8946.3407762460902</v>
      </c>
      <c r="AM31" s="2">
        <f t="shared" si="15"/>
        <v>10288.291892683003</v>
      </c>
      <c r="AN31" s="2">
        <f t="shared" si="15"/>
        <v>11831.535676585452</v>
      </c>
      <c r="AO31" s="2">
        <f t="shared" si="15"/>
        <v>13606.266028073271</v>
      </c>
      <c r="AP31" s="2">
        <f t="shared" si="15"/>
        <v>15647.20593228426</v>
      </c>
      <c r="AQ31" s="2">
        <f t="shared" si="15"/>
        <v>17994.286822126898</v>
      </c>
      <c r="AR31" s="2">
        <f t="shared" si="15"/>
        <v>20693.429845445931</v>
      </c>
      <c r="AS31" s="2">
        <f t="shared" si="15"/>
        <v>23797.444322262818</v>
      </c>
      <c r="AT31" s="2">
        <f t="shared" si="15"/>
        <v>27367.060970602237</v>
      </c>
      <c r="AU31" s="2">
        <f t="shared" si="15"/>
        <v>31472.120116192567</v>
      </c>
      <c r="AW31" s="2" t="s">
        <v>164</v>
      </c>
      <c r="AX31" s="2">
        <f>+NPV(AX30,AF38:EM38)</f>
        <v>181780.11076235145</v>
      </c>
    </row>
    <row r="32" spans="1:50" x14ac:dyDescent="0.2">
      <c r="A32" t="s">
        <v>89</v>
      </c>
      <c r="B32" s="2">
        <v>319</v>
      </c>
      <c r="C32" s="2">
        <v>341</v>
      </c>
      <c r="D32" s="2">
        <v>376</v>
      </c>
      <c r="E32" s="2">
        <v>412</v>
      </c>
      <c r="F32" s="2">
        <v>597</v>
      </c>
      <c r="G32" s="2">
        <v>592</v>
      </c>
      <c r="H32" s="2">
        <v>557</v>
      </c>
      <c r="I32" s="2">
        <v>590</v>
      </c>
      <c r="J32" s="2">
        <v>585</v>
      </c>
      <c r="K32" s="2">
        <v>547</v>
      </c>
      <c r="L32" s="2">
        <v>576</v>
      </c>
      <c r="M32" s="2">
        <v>644</v>
      </c>
      <c r="N32" s="2">
        <v>620</v>
      </c>
      <c r="O32" s="2">
        <v>650</v>
      </c>
      <c r="P32" s="2">
        <v>721</v>
      </c>
      <c r="Q32" s="2">
        <v>792</v>
      </c>
      <c r="S32" s="4">
        <f>+(AF32/U32)^(1/$T$28)-1</f>
        <v>0.12543679315443224</v>
      </c>
      <c r="U32" s="2">
        <v>674</v>
      </c>
      <c r="V32" s="2">
        <v>604</v>
      </c>
      <c r="W32" s="2">
        <v>482</v>
      </c>
      <c r="X32" s="2">
        <v>460</v>
      </c>
      <c r="Y32" s="2">
        <v>511</v>
      </c>
      <c r="Z32" s="2">
        <v>562</v>
      </c>
      <c r="AA32" s="2">
        <v>750</v>
      </c>
      <c r="AB32" s="2">
        <v>995</v>
      </c>
      <c r="AC32" s="2">
        <v>1448</v>
      </c>
      <c r="AD32" s="2">
        <v>2336</v>
      </c>
      <c r="AE32" s="2">
        <v>2352</v>
      </c>
      <c r="AF32" s="2">
        <f>+SUM(N32:Q32)</f>
        <v>2783</v>
      </c>
      <c r="AG32" s="2">
        <f>+AF32*1.13</f>
        <v>3144.7899999999995</v>
      </c>
      <c r="AH32" s="2">
        <f t="shared" ref="AH32:AU32" si="16">+AG32*1.13</f>
        <v>3553.6126999999992</v>
      </c>
      <c r="AI32" s="2">
        <f t="shared" si="16"/>
        <v>4015.5823509999987</v>
      </c>
      <c r="AJ32" s="2">
        <f t="shared" si="16"/>
        <v>4537.6080566299979</v>
      </c>
      <c r="AK32" s="2">
        <f t="shared" si="16"/>
        <v>5127.4971039918973</v>
      </c>
      <c r="AL32" s="2">
        <f t="shared" si="16"/>
        <v>5794.0717275108436</v>
      </c>
      <c r="AM32" s="2">
        <f t="shared" si="16"/>
        <v>6547.3010520872531</v>
      </c>
      <c r="AN32" s="2">
        <f t="shared" si="16"/>
        <v>7398.4501888585955</v>
      </c>
      <c r="AO32" s="2">
        <f t="shared" si="16"/>
        <v>8360.2487134102121</v>
      </c>
      <c r="AP32" s="2">
        <f t="shared" si="16"/>
        <v>9447.0810461535384</v>
      </c>
      <c r="AQ32" s="2">
        <f t="shared" si="16"/>
        <v>10675.201582153497</v>
      </c>
      <c r="AR32" s="2">
        <f t="shared" si="16"/>
        <v>12062.97778783345</v>
      </c>
      <c r="AS32" s="2">
        <f t="shared" si="16"/>
        <v>13631.164900251797</v>
      </c>
      <c r="AT32" s="2">
        <f t="shared" si="16"/>
        <v>15403.21633728453</v>
      </c>
      <c r="AU32" s="2">
        <f t="shared" si="16"/>
        <v>17405.634461131518</v>
      </c>
      <c r="AW32" s="2" t="s">
        <v>186</v>
      </c>
      <c r="AX32" s="2">
        <f>+AX31+Q49</f>
        <v>185191.11076235145</v>
      </c>
    </row>
    <row r="33" spans="1:143" x14ac:dyDescent="0.2">
      <c r="A33" t="s">
        <v>13</v>
      </c>
      <c r="B33" s="2">
        <f t="shared" ref="B33:N33" si="17">+B31+B32</f>
        <v>929</v>
      </c>
      <c r="C33" s="2">
        <f t="shared" si="17"/>
        <v>1000</v>
      </c>
      <c r="D33" s="2">
        <f t="shared" si="17"/>
        <v>1141</v>
      </c>
      <c r="E33" s="2">
        <f t="shared" si="17"/>
        <v>1223</v>
      </c>
      <c r="F33" s="2">
        <f t="shared" si="17"/>
        <v>1657</v>
      </c>
      <c r="G33" s="2">
        <f t="shared" si="17"/>
        <v>1892</v>
      </c>
      <c r="H33" s="2">
        <f t="shared" si="17"/>
        <v>1836</v>
      </c>
      <c r="I33" s="2">
        <f t="shared" si="17"/>
        <v>1956</v>
      </c>
      <c r="J33" s="2">
        <f t="shared" si="17"/>
        <v>1996</v>
      </c>
      <c r="K33" s="2">
        <f t="shared" si="17"/>
        <v>1990</v>
      </c>
      <c r="L33" s="2">
        <f t="shared" si="17"/>
        <v>2083</v>
      </c>
      <c r="M33" s="2">
        <f t="shared" si="17"/>
        <v>2155</v>
      </c>
      <c r="N33" s="2">
        <f t="shared" si="17"/>
        <v>2145</v>
      </c>
      <c r="O33" s="2">
        <f t="shared" ref="O33:P33" si="18">+O31+O32</f>
        <v>2233</v>
      </c>
      <c r="P33" s="2">
        <f t="shared" si="18"/>
        <v>2357</v>
      </c>
      <c r="Q33" s="2">
        <f t="shared" ref="Q33" si="19">+Q31+Q32</f>
        <v>2504</v>
      </c>
      <c r="U33" s="2">
        <f t="shared" ref="U33:AE33" si="20">+U31+U32</f>
        <v>1875</v>
      </c>
      <c r="V33" s="2">
        <f t="shared" si="20"/>
        <v>1676</v>
      </c>
      <c r="W33" s="2">
        <f t="shared" si="20"/>
        <v>1429</v>
      </c>
      <c r="X33" s="2">
        <f t="shared" si="20"/>
        <v>1468</v>
      </c>
      <c r="Y33" s="2">
        <f t="shared" si="20"/>
        <v>1671</v>
      </c>
      <c r="Z33" s="2">
        <f t="shared" si="20"/>
        <v>1996</v>
      </c>
      <c r="AA33" s="2">
        <f t="shared" si="20"/>
        <v>2297</v>
      </c>
      <c r="AB33" s="2">
        <f t="shared" si="20"/>
        <v>2978</v>
      </c>
      <c r="AC33" s="2">
        <f t="shared" si="20"/>
        <v>4293</v>
      </c>
      <c r="AD33" s="2">
        <f t="shared" si="20"/>
        <v>7341</v>
      </c>
      <c r="AE33" s="2">
        <f t="shared" si="20"/>
        <v>8224</v>
      </c>
      <c r="AF33" s="2">
        <f t="shared" ref="AF33" si="21">+AF31+AF32</f>
        <v>9239</v>
      </c>
      <c r="AG33" s="2">
        <f t="shared" ref="AG33:AP33" si="22">+AG31+AG32</f>
        <v>7592.7024999999994</v>
      </c>
      <c r="AH33" s="2">
        <f t="shared" si="22"/>
        <v>8668.7120749999976</v>
      </c>
      <c r="AI33" s="2">
        <f t="shared" si="22"/>
        <v>9897.9466322499975</v>
      </c>
      <c r="AJ33" s="2">
        <f t="shared" si="22"/>
        <v>11302.326980067495</v>
      </c>
      <c r="AK33" s="2">
        <f t="shared" si="22"/>
        <v>12906.92386594502</v>
      </c>
      <c r="AL33" s="2">
        <f t="shared" si="22"/>
        <v>14740.412503756934</v>
      </c>
      <c r="AM33" s="2">
        <f t="shared" si="22"/>
        <v>16835.592944770255</v>
      </c>
      <c r="AN33" s="2">
        <f t="shared" si="22"/>
        <v>19229.985865444047</v>
      </c>
      <c r="AO33" s="2">
        <f t="shared" si="22"/>
        <v>21966.514741483483</v>
      </c>
      <c r="AP33" s="2">
        <f t="shared" si="22"/>
        <v>25094.286978437798</v>
      </c>
      <c r="AQ33" s="2">
        <f t="shared" ref="AQ33:AU33" si="23">+AQ31+AQ32</f>
        <v>28669.488404280397</v>
      </c>
      <c r="AR33" s="2">
        <f t="shared" si="23"/>
        <v>32756.407633279381</v>
      </c>
      <c r="AS33" s="2">
        <f t="shared" si="23"/>
        <v>37428.609222514613</v>
      </c>
      <c r="AT33" s="2">
        <f t="shared" si="23"/>
        <v>42770.277307886769</v>
      </c>
      <c r="AU33" s="2">
        <f t="shared" si="23"/>
        <v>48877.754577324085</v>
      </c>
      <c r="AW33" s="2" t="s">
        <v>165</v>
      </c>
      <c r="AX33" s="8">
        <f>+AX31/Main!L3</f>
        <v>111.11253714080162</v>
      </c>
    </row>
    <row r="34" spans="1:143" s="7" customFormat="1" x14ac:dyDescent="0.2">
      <c r="A34" s="3" t="s">
        <v>14</v>
      </c>
      <c r="B34" s="7">
        <f t="shared" ref="B34:N34" si="24">+B30-B33</f>
        <v>658</v>
      </c>
      <c r="C34" s="7">
        <f t="shared" si="24"/>
        <v>830</v>
      </c>
      <c r="D34" s="7">
        <f t="shared" si="24"/>
        <v>945</v>
      </c>
      <c r="E34" s="7">
        <f t="shared" si="24"/>
        <v>1203</v>
      </c>
      <c r="F34" s="7">
        <f t="shared" si="24"/>
        <v>1347</v>
      </c>
      <c r="G34" s="7">
        <f t="shared" si="24"/>
        <v>1543</v>
      </c>
      <c r="H34" s="7">
        <f t="shared" si="24"/>
        <v>930</v>
      </c>
      <c r="I34" s="7">
        <f t="shared" si="24"/>
        <v>890</v>
      </c>
      <c r="J34" s="7">
        <f t="shared" si="24"/>
        <v>668</v>
      </c>
      <c r="K34" s="7">
        <f t="shared" si="24"/>
        <v>665</v>
      </c>
      <c r="L34" s="7">
        <f t="shared" si="24"/>
        <v>874</v>
      </c>
      <c r="M34" s="7">
        <f t="shared" si="24"/>
        <v>1170</v>
      </c>
      <c r="N34" s="7">
        <f t="shared" si="24"/>
        <v>645</v>
      </c>
      <c r="O34" s="7">
        <f>+O30-O33</f>
        <v>862</v>
      </c>
      <c r="P34" s="7">
        <f>+P30-P33</f>
        <v>1295</v>
      </c>
      <c r="Q34" s="7">
        <f>+Q30-Q33</f>
        <v>1630</v>
      </c>
      <c r="U34" s="7">
        <f t="shared" ref="U34:AE34" si="25">+U30-U33</f>
        <v>103</v>
      </c>
      <c r="V34" s="7">
        <f t="shared" si="25"/>
        <v>163</v>
      </c>
      <c r="W34" s="7">
        <f t="shared" si="25"/>
        <v>-349</v>
      </c>
      <c r="X34" s="7">
        <f t="shared" si="25"/>
        <v>-470</v>
      </c>
      <c r="Y34" s="7">
        <f t="shared" si="25"/>
        <v>152</v>
      </c>
      <c r="Z34" s="7">
        <f t="shared" si="25"/>
        <v>451</v>
      </c>
      <c r="AA34" s="7">
        <f t="shared" si="25"/>
        <v>571</v>
      </c>
      <c r="AB34" s="7">
        <f t="shared" si="25"/>
        <v>1369</v>
      </c>
      <c r="AC34" s="7">
        <f t="shared" si="25"/>
        <v>3636</v>
      </c>
      <c r="AD34" s="7">
        <f t="shared" si="25"/>
        <v>4710</v>
      </c>
      <c r="AE34" s="7">
        <f t="shared" si="25"/>
        <v>3178</v>
      </c>
      <c r="AF34" s="7">
        <f t="shared" ref="AF34" si="26">+AF30-AF33</f>
        <v>4432</v>
      </c>
      <c r="AG34" s="7">
        <f t="shared" ref="AG34:AP34" si="27">+AG30-AG33</f>
        <v>8123.2549999999992</v>
      </c>
      <c r="AH34" s="7">
        <f t="shared" si="27"/>
        <v>9404.6390499999998</v>
      </c>
      <c r="AI34" s="7">
        <f t="shared" si="27"/>
        <v>10886.407161499999</v>
      </c>
      <c r="AJ34" s="7">
        <f t="shared" si="27"/>
        <v>12599.679882744998</v>
      </c>
      <c r="AK34" s="7">
        <f t="shared" si="27"/>
        <v>14580.384026289346</v>
      </c>
      <c r="AL34" s="7">
        <f t="shared" si="27"/>
        <v>16869.991572312589</v>
      </c>
      <c r="AM34" s="7">
        <f t="shared" si="27"/>
        <v>19516.371742709689</v>
      </c>
      <c r="AN34" s="7">
        <f t="shared" si="27"/>
        <v>22574.773525157892</v>
      </c>
      <c r="AO34" s="7">
        <f t="shared" si="27"/>
        <v>26108.958557708746</v>
      </c>
      <c r="AP34" s="7">
        <f t="shared" si="27"/>
        <v>30192.507315633258</v>
      </c>
      <c r="AQ34" s="7">
        <f t="shared" ref="AQ34:AU34" si="28">+AQ30-AQ33</f>
        <v>34910.325033901318</v>
      </c>
      <c r="AR34" s="7">
        <f t="shared" si="28"/>
        <v>40360.377820629583</v>
      </c>
      <c r="AS34" s="7">
        <f t="shared" si="28"/>
        <v>46655.694049480677</v>
      </c>
      <c r="AT34" s="7">
        <f t="shared" si="28"/>
        <v>53926.67145490781</v>
      </c>
      <c r="AU34" s="7">
        <f t="shared" si="28"/>
        <v>62323.736499889666</v>
      </c>
      <c r="AW34" s="2" t="s">
        <v>166</v>
      </c>
      <c r="AX34" s="8">
        <v>108.67</v>
      </c>
    </row>
    <row r="35" spans="1:143" x14ac:dyDescent="0.2">
      <c r="A35" t="s">
        <v>15</v>
      </c>
      <c r="B35" s="2">
        <v>-9</v>
      </c>
      <c r="C35" s="2">
        <v>-10</v>
      </c>
      <c r="D35" s="2">
        <v>-7</v>
      </c>
      <c r="E35" s="2">
        <v>-8</v>
      </c>
      <c r="F35" s="2">
        <v>-13</v>
      </c>
      <c r="G35" s="2">
        <v>-25</v>
      </c>
      <c r="H35" s="2">
        <v>-31</v>
      </c>
      <c r="I35" s="2">
        <v>-19</v>
      </c>
      <c r="J35" s="2">
        <v>-25</v>
      </c>
      <c r="K35" s="2">
        <v>-28</v>
      </c>
      <c r="L35" s="2">
        <v>-26</v>
      </c>
      <c r="M35" s="2">
        <v>-27</v>
      </c>
      <c r="N35" s="2">
        <v>-25</v>
      </c>
      <c r="O35" s="2">
        <v>-25</v>
      </c>
      <c r="P35" s="2">
        <v>-23</v>
      </c>
      <c r="Q35" s="2">
        <v>-19</v>
      </c>
      <c r="U35" s="2">
        <v>-177</v>
      </c>
      <c r="V35" s="2">
        <v>-177</v>
      </c>
      <c r="W35" s="2">
        <v>-160</v>
      </c>
      <c r="X35" s="2">
        <v>-156</v>
      </c>
      <c r="Y35" s="2">
        <v>-126</v>
      </c>
      <c r="Z35" s="2">
        <v>-121</v>
      </c>
      <c r="AA35" s="2">
        <v>-94</v>
      </c>
      <c r="AB35" s="2">
        <v>-47</v>
      </c>
      <c r="AC35" s="2">
        <v>-34</v>
      </c>
      <c r="AD35" s="2">
        <v>-88</v>
      </c>
      <c r="AE35" s="2">
        <v>-106</v>
      </c>
      <c r="AF35" s="2">
        <f>+SUM(N35:Q35)</f>
        <v>-92</v>
      </c>
      <c r="AG35" s="2">
        <f>+AF49*0.03</f>
        <v>203.48999999999998</v>
      </c>
      <c r="AH35" s="2">
        <f t="shared" ref="AH35:AU35" si="29">+AG49*0.03</f>
        <v>400.83385649999997</v>
      </c>
      <c r="AI35" s="2">
        <f t="shared" si="29"/>
        <v>633.22356438405006</v>
      </c>
      <c r="AJ35" s="2">
        <f t="shared" si="29"/>
        <v>906.23881258750191</v>
      </c>
      <c r="AK35" s="2">
        <f t="shared" si="29"/>
        <v>1226.3290856668823</v>
      </c>
      <c r="AL35" s="2">
        <f t="shared" si="29"/>
        <v>1600.9481864202446</v>
      </c>
      <c r="AM35" s="2">
        <f t="shared" si="29"/>
        <v>2038.7094587022129</v>
      </c>
      <c r="AN35" s="2">
        <f t="shared" si="29"/>
        <v>2549.5648831756748</v>
      </c>
      <c r="AO35" s="2">
        <f t="shared" si="29"/>
        <v>3145.01170345318</v>
      </c>
      <c r="AP35" s="2">
        <f t="shared" si="29"/>
        <v>3838.330798642718</v>
      </c>
      <c r="AQ35" s="2">
        <f t="shared" si="29"/>
        <v>4644.8616619510585</v>
      </c>
      <c r="AR35" s="2">
        <f t="shared" si="29"/>
        <v>5582.3195866427595</v>
      </c>
      <c r="AS35" s="2">
        <f t="shared" si="29"/>
        <v>6671.1615151951146</v>
      </c>
      <c r="AT35" s="2">
        <f t="shared" si="29"/>
        <v>7935.0079920779308</v>
      </c>
      <c r="AU35" s="2">
        <f t="shared" si="29"/>
        <v>9401.1297949714935</v>
      </c>
      <c r="AW35" s="2" t="s">
        <v>167</v>
      </c>
      <c r="AX35" s="4">
        <f>+AX33/AX34-1</f>
        <v>2.2476646183874349E-2</v>
      </c>
    </row>
    <row r="36" spans="1:143" x14ac:dyDescent="0.2">
      <c r="A36" t="s">
        <v>16</v>
      </c>
      <c r="B36" s="2">
        <f t="shared" ref="B36:P36" si="30">+B34+B35</f>
        <v>649</v>
      </c>
      <c r="C36" s="2">
        <f t="shared" si="30"/>
        <v>820</v>
      </c>
      <c r="D36" s="2">
        <f t="shared" si="30"/>
        <v>938</v>
      </c>
      <c r="E36" s="2">
        <f t="shared" si="30"/>
        <v>1195</v>
      </c>
      <c r="F36" s="2">
        <f t="shared" si="30"/>
        <v>1334</v>
      </c>
      <c r="G36" s="2">
        <f t="shared" si="30"/>
        <v>1518</v>
      </c>
      <c r="H36" s="2">
        <f t="shared" si="30"/>
        <v>899</v>
      </c>
      <c r="I36" s="2">
        <f t="shared" si="30"/>
        <v>871</v>
      </c>
      <c r="J36" s="2">
        <f t="shared" si="30"/>
        <v>643</v>
      </c>
      <c r="K36" s="2">
        <f t="shared" si="30"/>
        <v>637</v>
      </c>
      <c r="L36" s="2">
        <f t="shared" si="30"/>
        <v>848</v>
      </c>
      <c r="M36" s="2">
        <f t="shared" si="30"/>
        <v>1143</v>
      </c>
      <c r="N36" s="2">
        <f t="shared" si="30"/>
        <v>620</v>
      </c>
      <c r="O36" s="2">
        <f t="shared" si="30"/>
        <v>837</v>
      </c>
      <c r="P36" s="2">
        <f t="shared" si="30"/>
        <v>1272</v>
      </c>
      <c r="Q36" s="2">
        <f>+Q34+Q35</f>
        <v>1611</v>
      </c>
      <c r="U36" s="2">
        <f t="shared" ref="U36:AP36" si="31">+U34+U35</f>
        <v>-74</v>
      </c>
      <c r="V36" s="2">
        <f t="shared" si="31"/>
        <v>-14</v>
      </c>
      <c r="W36" s="2">
        <f t="shared" si="31"/>
        <v>-509</v>
      </c>
      <c r="X36" s="2">
        <f t="shared" si="31"/>
        <v>-626</v>
      </c>
      <c r="Y36" s="2">
        <f t="shared" si="31"/>
        <v>26</v>
      </c>
      <c r="Z36" s="2">
        <f t="shared" si="31"/>
        <v>330</v>
      </c>
      <c r="AA36" s="2">
        <f t="shared" si="31"/>
        <v>477</v>
      </c>
      <c r="AB36" s="2">
        <f t="shared" si="31"/>
        <v>1322</v>
      </c>
      <c r="AC36" s="2">
        <f t="shared" si="31"/>
        <v>3602</v>
      </c>
      <c r="AD36" s="2">
        <f t="shared" si="31"/>
        <v>4622</v>
      </c>
      <c r="AE36" s="2">
        <f t="shared" si="31"/>
        <v>3072</v>
      </c>
      <c r="AF36" s="2">
        <f t="shared" si="31"/>
        <v>4340</v>
      </c>
      <c r="AG36" s="2">
        <f t="shared" si="31"/>
        <v>8326.744999999999</v>
      </c>
      <c r="AH36" s="2">
        <f t="shared" si="31"/>
        <v>9805.4729064999992</v>
      </c>
      <c r="AI36" s="2">
        <f t="shared" si="31"/>
        <v>11519.63072588405</v>
      </c>
      <c r="AJ36" s="2">
        <f t="shared" si="31"/>
        <v>13505.918695332501</v>
      </c>
      <c r="AK36" s="2">
        <f t="shared" si="31"/>
        <v>15806.713111956229</v>
      </c>
      <c r="AL36" s="2">
        <f t="shared" si="31"/>
        <v>18470.939758732835</v>
      </c>
      <c r="AM36" s="2">
        <f t="shared" si="31"/>
        <v>21555.0812014119</v>
      </c>
      <c r="AN36" s="2">
        <f t="shared" si="31"/>
        <v>25124.338408333566</v>
      </c>
      <c r="AO36" s="2">
        <f t="shared" si="31"/>
        <v>29253.970261161925</v>
      </c>
      <c r="AP36" s="2">
        <f t="shared" si="31"/>
        <v>34030.838114275975</v>
      </c>
      <c r="AQ36" s="2">
        <f t="shared" ref="AQ36" si="32">+AQ34+AQ35</f>
        <v>39555.186695852375</v>
      </c>
      <c r="AR36" s="2">
        <f t="shared" ref="AR36" si="33">+AR34+AR35</f>
        <v>45942.697407272339</v>
      </c>
      <c r="AS36" s="2">
        <f t="shared" ref="AS36" si="34">+AS34+AS35</f>
        <v>53326.855564675789</v>
      </c>
      <c r="AT36" s="2">
        <f t="shared" ref="AT36" si="35">+AT34+AT35</f>
        <v>61861.679446985741</v>
      </c>
      <c r="AU36" s="2">
        <f t="shared" ref="AU36" si="36">+AU34+AU35</f>
        <v>71724.86629486116</v>
      </c>
    </row>
    <row r="37" spans="1:143" x14ac:dyDescent="0.2">
      <c r="A37" t="s">
        <v>17</v>
      </c>
      <c r="B37" s="2">
        <v>89</v>
      </c>
      <c r="C37" s="2">
        <v>113</v>
      </c>
      <c r="D37" s="2">
        <v>82</v>
      </c>
      <c r="E37" s="2">
        <v>229</v>
      </c>
      <c r="F37" s="2">
        <v>113</v>
      </c>
      <c r="G37" s="2">
        <v>54</v>
      </c>
      <c r="H37" s="2">
        <v>-135</v>
      </c>
      <c r="I37" s="2">
        <v>-154</v>
      </c>
      <c r="J37" s="2">
        <v>13</v>
      </c>
      <c r="K37" s="2">
        <v>-23</v>
      </c>
      <c r="L37" s="2">
        <v>-39</v>
      </c>
      <c r="M37" s="2">
        <v>-297</v>
      </c>
      <c r="N37" s="2">
        <v>-52</v>
      </c>
      <c r="O37" s="2">
        <v>41</v>
      </c>
      <c r="P37" s="2">
        <v>-27</v>
      </c>
      <c r="Q37" s="2">
        <v>419</v>
      </c>
      <c r="U37" s="2">
        <v>9</v>
      </c>
      <c r="V37" s="2">
        <v>5</v>
      </c>
      <c r="W37" s="2">
        <v>14</v>
      </c>
      <c r="X37" s="2">
        <v>39</v>
      </c>
      <c r="Y37" s="2">
        <v>19</v>
      </c>
      <c r="Z37" s="2">
        <v>-9</v>
      </c>
      <c r="AA37" s="2">
        <v>31</v>
      </c>
      <c r="AB37" s="2">
        <v>-1210</v>
      </c>
      <c r="AC37" s="2">
        <v>513</v>
      </c>
      <c r="AD37" s="2">
        <v>-122</v>
      </c>
      <c r="AE37" s="2">
        <v>-346</v>
      </c>
      <c r="AF37" s="2">
        <f>+SUM(N37:Q37)</f>
        <v>381</v>
      </c>
      <c r="AG37" s="2">
        <f t="shared" ref="AG37:AP37" si="37">+AG36*0.21</f>
        <v>1748.6164499999998</v>
      </c>
      <c r="AH37" s="2">
        <f t="shared" si="37"/>
        <v>2059.1493103649996</v>
      </c>
      <c r="AI37" s="2">
        <f t="shared" si="37"/>
        <v>2419.1224524356503</v>
      </c>
      <c r="AJ37" s="2">
        <f t="shared" si="37"/>
        <v>2836.2429260198251</v>
      </c>
      <c r="AK37" s="2">
        <f t="shared" si="37"/>
        <v>3319.4097535108081</v>
      </c>
      <c r="AL37" s="2">
        <f t="shared" si="37"/>
        <v>3878.8973493338954</v>
      </c>
      <c r="AM37" s="2">
        <f t="shared" si="37"/>
        <v>4526.5670522964992</v>
      </c>
      <c r="AN37" s="2">
        <f t="shared" si="37"/>
        <v>5276.1110657500485</v>
      </c>
      <c r="AO37" s="2">
        <f t="shared" si="37"/>
        <v>6143.333754844004</v>
      </c>
      <c r="AP37" s="2">
        <f t="shared" si="37"/>
        <v>7146.4760039979546</v>
      </c>
      <c r="AQ37" s="2">
        <f t="shared" ref="AQ37:AU37" si="38">+AQ36*0.21</f>
        <v>8306.5892061289978</v>
      </c>
      <c r="AR37" s="2">
        <f t="shared" si="38"/>
        <v>9647.9664555271902</v>
      </c>
      <c r="AS37" s="2">
        <f t="shared" si="38"/>
        <v>11198.639668581915</v>
      </c>
      <c r="AT37" s="2">
        <f t="shared" si="38"/>
        <v>12990.952683867004</v>
      </c>
      <c r="AU37" s="2">
        <f t="shared" si="38"/>
        <v>15062.221921920844</v>
      </c>
    </row>
    <row r="38" spans="1:143" x14ac:dyDescent="0.2">
      <c r="A38" t="s">
        <v>18</v>
      </c>
      <c r="B38" s="2">
        <f t="shared" ref="B38:N38" si="39">+B36-B37</f>
        <v>560</v>
      </c>
      <c r="C38" s="2">
        <f t="shared" si="39"/>
        <v>707</v>
      </c>
      <c r="D38" s="2">
        <f t="shared" si="39"/>
        <v>856</v>
      </c>
      <c r="E38" s="2">
        <f t="shared" si="39"/>
        <v>966</v>
      </c>
      <c r="F38" s="2">
        <f t="shared" si="39"/>
        <v>1221</v>
      </c>
      <c r="G38" s="2">
        <f t="shared" si="39"/>
        <v>1464</v>
      </c>
      <c r="H38" s="2">
        <f t="shared" si="39"/>
        <v>1034</v>
      </c>
      <c r="I38" s="2">
        <f t="shared" si="39"/>
        <v>1025</v>
      </c>
      <c r="J38" s="2">
        <f t="shared" si="39"/>
        <v>630</v>
      </c>
      <c r="K38" s="2">
        <f t="shared" si="39"/>
        <v>660</v>
      </c>
      <c r="L38" s="2">
        <f t="shared" si="39"/>
        <v>887</v>
      </c>
      <c r="M38" s="2">
        <f t="shared" si="39"/>
        <v>1440</v>
      </c>
      <c r="N38" s="2">
        <f t="shared" si="39"/>
        <v>672</v>
      </c>
      <c r="O38" s="2">
        <f t="shared" ref="O38:P38" si="40">+O36-O37</f>
        <v>796</v>
      </c>
      <c r="P38" s="2">
        <f t="shared" si="40"/>
        <v>1299</v>
      </c>
      <c r="Q38" s="2">
        <f t="shared" ref="Q38" si="41">+Q36-Q37</f>
        <v>1192</v>
      </c>
      <c r="U38" s="2">
        <f t="shared" ref="U38:AF38" si="42">+U36-U37</f>
        <v>-83</v>
      </c>
      <c r="V38" s="2">
        <f t="shared" si="42"/>
        <v>-19</v>
      </c>
      <c r="W38" s="2">
        <f t="shared" si="42"/>
        <v>-523</v>
      </c>
      <c r="X38" s="2">
        <f t="shared" si="42"/>
        <v>-665</v>
      </c>
      <c r="Y38" s="2">
        <f t="shared" si="42"/>
        <v>7</v>
      </c>
      <c r="Z38" s="2">
        <f t="shared" si="42"/>
        <v>339</v>
      </c>
      <c r="AA38" s="2">
        <f t="shared" si="42"/>
        <v>446</v>
      </c>
      <c r="AB38" s="2">
        <f t="shared" si="42"/>
        <v>2532</v>
      </c>
      <c r="AC38" s="2">
        <f t="shared" si="42"/>
        <v>3089</v>
      </c>
      <c r="AD38" s="2">
        <f t="shared" si="42"/>
        <v>4744</v>
      </c>
      <c r="AE38" s="2">
        <f t="shared" si="42"/>
        <v>3418</v>
      </c>
      <c r="AF38" s="2">
        <f t="shared" si="42"/>
        <v>3959</v>
      </c>
      <c r="AG38" s="2">
        <f t="shared" ref="AG38:AU38" si="43">+AG36-AG37</f>
        <v>6578.1285499999994</v>
      </c>
      <c r="AH38" s="2">
        <f t="shared" si="43"/>
        <v>7746.3235961350001</v>
      </c>
      <c r="AI38" s="2">
        <f t="shared" si="43"/>
        <v>9100.5082734483985</v>
      </c>
      <c r="AJ38" s="2">
        <f t="shared" si="43"/>
        <v>10669.675769312675</v>
      </c>
      <c r="AK38" s="2">
        <f t="shared" si="43"/>
        <v>12487.303358445421</v>
      </c>
      <c r="AL38" s="2">
        <f t="shared" si="43"/>
        <v>14592.042409398939</v>
      </c>
      <c r="AM38" s="2">
        <f t="shared" si="43"/>
        <v>17028.514149115399</v>
      </c>
      <c r="AN38" s="2">
        <f t="shared" si="43"/>
        <v>19848.227342583516</v>
      </c>
      <c r="AO38" s="2">
        <f t="shared" si="43"/>
        <v>23110.636506317922</v>
      </c>
      <c r="AP38" s="2">
        <f t="shared" si="43"/>
        <v>26884.36211027802</v>
      </c>
      <c r="AQ38" s="2">
        <f t="shared" si="43"/>
        <v>31248.597489723375</v>
      </c>
      <c r="AR38" s="2">
        <f t="shared" si="43"/>
        <v>36294.73095174515</v>
      </c>
      <c r="AS38" s="2">
        <f t="shared" si="43"/>
        <v>42128.215896093876</v>
      </c>
      <c r="AT38" s="2">
        <f t="shared" si="43"/>
        <v>48870.726763118735</v>
      </c>
      <c r="AU38" s="2">
        <f t="shared" si="43"/>
        <v>56662.644372940318</v>
      </c>
      <c r="AV38" s="2">
        <f t="shared" ref="AV38:CA38" si="44">+AU38*(1+$AX$29)</f>
        <v>56096.017929210917</v>
      </c>
      <c r="AW38" s="2">
        <f t="shared" si="44"/>
        <v>55535.057749918808</v>
      </c>
      <c r="AX38" s="2">
        <f t="shared" si="44"/>
        <v>54979.707172419621</v>
      </c>
      <c r="AY38" s="2">
        <f t="shared" si="44"/>
        <v>54429.910100695422</v>
      </c>
      <c r="AZ38" s="2">
        <f t="shared" si="44"/>
        <v>53885.61099968847</v>
      </c>
      <c r="BA38" s="2">
        <f t="shared" si="44"/>
        <v>53346.754889691583</v>
      </c>
      <c r="BB38" s="2">
        <f t="shared" si="44"/>
        <v>52813.287340794668</v>
      </c>
      <c r="BC38" s="2">
        <f t="shared" si="44"/>
        <v>52285.154467386717</v>
      </c>
      <c r="BD38" s="2">
        <f t="shared" si="44"/>
        <v>51762.30292271285</v>
      </c>
      <c r="BE38" s="2">
        <f t="shared" si="44"/>
        <v>51244.679893485722</v>
      </c>
      <c r="BF38" s="2">
        <f t="shared" si="44"/>
        <v>50732.233094550866</v>
      </c>
      <c r="BG38" s="2">
        <f t="shared" si="44"/>
        <v>50224.91076360536</v>
      </c>
      <c r="BH38" s="2">
        <f t="shared" si="44"/>
        <v>49722.661655969307</v>
      </c>
      <c r="BI38" s="2">
        <f t="shared" si="44"/>
        <v>49225.435039409611</v>
      </c>
      <c r="BJ38" s="2">
        <f t="shared" si="44"/>
        <v>48733.180689015513</v>
      </c>
      <c r="BK38" s="2">
        <f t="shared" si="44"/>
        <v>48245.848882125356</v>
      </c>
      <c r="BL38" s="2">
        <f t="shared" si="44"/>
        <v>47763.3903933041</v>
      </c>
      <c r="BM38" s="2">
        <f t="shared" si="44"/>
        <v>47285.756489371059</v>
      </c>
      <c r="BN38" s="2">
        <f t="shared" si="44"/>
        <v>46812.898924477347</v>
      </c>
      <c r="BO38" s="2">
        <f t="shared" si="44"/>
        <v>46344.769935232573</v>
      </c>
      <c r="BP38" s="2">
        <f t="shared" si="44"/>
        <v>45881.322235880245</v>
      </c>
      <c r="BQ38" s="2">
        <f t="shared" si="44"/>
        <v>45422.509013521441</v>
      </c>
      <c r="BR38" s="2">
        <f t="shared" si="44"/>
        <v>44968.283923386225</v>
      </c>
      <c r="BS38" s="2">
        <f t="shared" si="44"/>
        <v>44518.60108415236</v>
      </c>
      <c r="BT38" s="2">
        <f t="shared" si="44"/>
        <v>44073.415073310833</v>
      </c>
      <c r="BU38" s="2">
        <f t="shared" si="44"/>
        <v>43632.680922577725</v>
      </c>
      <c r="BV38" s="2">
        <f t="shared" si="44"/>
        <v>43196.354113351947</v>
      </c>
      <c r="BW38" s="2">
        <f t="shared" si="44"/>
        <v>42764.390572218428</v>
      </c>
      <c r="BX38" s="2">
        <f t="shared" si="44"/>
        <v>42336.746666496241</v>
      </c>
      <c r="BY38" s="2">
        <f t="shared" si="44"/>
        <v>41913.379199831281</v>
      </c>
      <c r="BZ38" s="2">
        <f t="shared" si="44"/>
        <v>41494.245407832968</v>
      </c>
      <c r="CA38" s="2">
        <f t="shared" si="44"/>
        <v>41079.302953754639</v>
      </c>
      <c r="CB38" s="2">
        <f t="shared" ref="CB38:DG38" si="45">+CA38*(1+$AX$29)</f>
        <v>40668.509924217091</v>
      </c>
      <c r="CC38" s="2">
        <f t="shared" si="45"/>
        <v>40261.824824974923</v>
      </c>
      <c r="CD38" s="2">
        <f t="shared" si="45"/>
        <v>39859.206576725177</v>
      </c>
      <c r="CE38" s="2">
        <f t="shared" si="45"/>
        <v>39460.614510957923</v>
      </c>
      <c r="CF38" s="2">
        <f t="shared" si="45"/>
        <v>39066.008365848342</v>
      </c>
      <c r="CG38" s="2">
        <f t="shared" si="45"/>
        <v>38675.348282189858</v>
      </c>
      <c r="CH38" s="2">
        <f t="shared" si="45"/>
        <v>38288.594799367958</v>
      </c>
      <c r="CI38" s="2">
        <f t="shared" si="45"/>
        <v>37905.708851374278</v>
      </c>
      <c r="CJ38" s="2">
        <f t="shared" si="45"/>
        <v>37526.651762860536</v>
      </c>
      <c r="CK38" s="2">
        <f t="shared" si="45"/>
        <v>37151.385245231933</v>
      </c>
      <c r="CL38" s="2">
        <f t="shared" si="45"/>
        <v>36779.871392779613</v>
      </c>
      <c r="CM38" s="2">
        <f t="shared" si="45"/>
        <v>36412.072678851815</v>
      </c>
      <c r="CN38" s="2">
        <f t="shared" si="45"/>
        <v>36047.951952063297</v>
      </c>
      <c r="CO38" s="2">
        <f t="shared" si="45"/>
        <v>35687.472432542665</v>
      </c>
      <c r="CP38" s="2">
        <f t="shared" si="45"/>
        <v>35330.597708217239</v>
      </c>
      <c r="CQ38" s="2">
        <f t="shared" si="45"/>
        <v>34977.291731135068</v>
      </c>
      <c r="CR38" s="2">
        <f t="shared" si="45"/>
        <v>34627.518813823721</v>
      </c>
      <c r="CS38" s="2">
        <f t="shared" si="45"/>
        <v>34281.243625685485</v>
      </c>
      <c r="CT38" s="2">
        <f t="shared" si="45"/>
        <v>33938.431189428629</v>
      </c>
      <c r="CU38" s="2">
        <f t="shared" si="45"/>
        <v>33599.04687753434</v>
      </c>
      <c r="CV38" s="2">
        <f t="shared" si="45"/>
        <v>33263.056408758996</v>
      </c>
      <c r="CW38" s="2">
        <f t="shared" si="45"/>
        <v>32930.425844671408</v>
      </c>
      <c r="CX38" s="2">
        <f t="shared" si="45"/>
        <v>32601.121586224694</v>
      </c>
      <c r="CY38" s="2">
        <f t="shared" si="45"/>
        <v>32275.110370362447</v>
      </c>
      <c r="CZ38" s="2">
        <f t="shared" si="45"/>
        <v>31952.359266658823</v>
      </c>
      <c r="DA38" s="2">
        <f t="shared" si="45"/>
        <v>31632.835673992235</v>
      </c>
      <c r="DB38" s="2">
        <f t="shared" si="45"/>
        <v>31316.507317252312</v>
      </c>
      <c r="DC38" s="2">
        <f t="shared" si="45"/>
        <v>31003.342244079788</v>
      </c>
      <c r="DD38" s="2">
        <f t="shared" si="45"/>
        <v>30693.308821638988</v>
      </c>
      <c r="DE38" s="2">
        <f t="shared" si="45"/>
        <v>30386.375733422599</v>
      </c>
      <c r="DF38" s="2">
        <f t="shared" si="45"/>
        <v>30082.511976088372</v>
      </c>
      <c r="DG38" s="2">
        <f t="shared" si="45"/>
        <v>29781.686856327487</v>
      </c>
      <c r="DH38" s="2">
        <f t="shared" ref="DH38:EM38" si="46">+DG38*(1+$AX$29)</f>
        <v>29483.869987764214</v>
      </c>
      <c r="DI38" s="2">
        <f t="shared" si="46"/>
        <v>29189.03128788657</v>
      </c>
      <c r="DJ38" s="2">
        <f t="shared" si="46"/>
        <v>28897.140975007704</v>
      </c>
      <c r="DK38" s="2">
        <f t="shared" si="46"/>
        <v>28608.169565257627</v>
      </c>
      <c r="DL38" s="2">
        <f t="shared" si="46"/>
        <v>28322.087869605049</v>
      </c>
      <c r="DM38" s="2">
        <f t="shared" si="46"/>
        <v>28038.866990908999</v>
      </c>
      <c r="DN38" s="2">
        <f t="shared" si="46"/>
        <v>27758.478320999908</v>
      </c>
      <c r="DO38" s="2">
        <f t="shared" si="46"/>
        <v>27480.893537789907</v>
      </c>
      <c r="DP38" s="2">
        <f t="shared" si="46"/>
        <v>27206.084602412007</v>
      </c>
      <c r="DQ38" s="2">
        <f t="shared" si="46"/>
        <v>26934.023756387887</v>
      </c>
      <c r="DR38" s="2">
        <f t="shared" si="46"/>
        <v>26664.683518824007</v>
      </c>
      <c r="DS38" s="2">
        <f t="shared" si="46"/>
        <v>26398.036683635768</v>
      </c>
      <c r="DT38" s="2">
        <f t="shared" si="46"/>
        <v>26134.056316799411</v>
      </c>
      <c r="DU38" s="2">
        <f t="shared" si="46"/>
        <v>25872.715753631415</v>
      </c>
      <c r="DV38" s="2">
        <f t="shared" si="46"/>
        <v>25613.9885960951</v>
      </c>
      <c r="DW38" s="2">
        <f t="shared" si="46"/>
        <v>25357.848710134149</v>
      </c>
      <c r="DX38" s="2">
        <f t="shared" si="46"/>
        <v>25104.270223032807</v>
      </c>
      <c r="DY38" s="2">
        <f t="shared" si="46"/>
        <v>24853.22752080248</v>
      </c>
      <c r="DZ38" s="2">
        <f t="shared" si="46"/>
        <v>24604.695245594456</v>
      </c>
      <c r="EA38" s="2">
        <f t="shared" si="46"/>
        <v>24358.648293138511</v>
      </c>
      <c r="EB38" s="2">
        <f t="shared" si="46"/>
        <v>24115.061810207124</v>
      </c>
      <c r="EC38" s="2">
        <f t="shared" si="46"/>
        <v>23873.911192105053</v>
      </c>
      <c r="ED38" s="2">
        <f t="shared" si="46"/>
        <v>23635.172080184002</v>
      </c>
      <c r="EE38" s="2">
        <f t="shared" si="46"/>
        <v>23398.82035938216</v>
      </c>
      <c r="EF38" s="2">
        <f t="shared" si="46"/>
        <v>23164.832155788339</v>
      </c>
      <c r="EG38" s="2">
        <f t="shared" si="46"/>
        <v>22933.183834230455</v>
      </c>
      <c r="EH38" s="2">
        <f t="shared" si="46"/>
        <v>22703.851995888152</v>
      </c>
      <c r="EI38" s="2">
        <f t="shared" si="46"/>
        <v>22476.81347592927</v>
      </c>
      <c r="EJ38" s="2">
        <f t="shared" si="46"/>
        <v>22252.045341169978</v>
      </c>
      <c r="EK38" s="2">
        <f t="shared" si="46"/>
        <v>22029.524887758278</v>
      </c>
      <c r="EL38" s="2">
        <f t="shared" si="46"/>
        <v>21809.229638880694</v>
      </c>
      <c r="EM38" s="2">
        <f t="shared" si="46"/>
        <v>21591.137342491886</v>
      </c>
    </row>
    <row r="39" spans="1:143" x14ac:dyDescent="0.2">
      <c r="A39" t="s">
        <v>19</v>
      </c>
      <c r="B39" s="8">
        <f t="shared" ref="B39:N39" si="47">+B38/B40</f>
        <v>0.45491470349309504</v>
      </c>
      <c r="C39" s="8">
        <f t="shared" si="47"/>
        <v>0.57386363636363635</v>
      </c>
      <c r="D39" s="8">
        <f t="shared" si="47"/>
        <v>0.69593495934959348</v>
      </c>
      <c r="E39" s="8">
        <f t="shared" si="47"/>
        <v>0.79050736497545004</v>
      </c>
      <c r="F39" s="8">
        <f t="shared" si="47"/>
        <v>0.86595744680851061</v>
      </c>
      <c r="G39" s="8">
        <f t="shared" si="47"/>
        <v>0.8970588235294118</v>
      </c>
      <c r="H39" s="8">
        <f t="shared" si="47"/>
        <v>0.63630769230769235</v>
      </c>
      <c r="I39" s="8">
        <f t="shared" si="47"/>
        <v>0.63349814585908526</v>
      </c>
      <c r="J39" s="8">
        <f t="shared" si="47"/>
        <v>0.39106145251396646</v>
      </c>
      <c r="K39" s="8">
        <f t="shared" si="47"/>
        <v>0.4056545789797173</v>
      </c>
      <c r="L39" s="8">
        <f t="shared" si="47"/>
        <v>0.54450583179864953</v>
      </c>
      <c r="M39" s="8">
        <f t="shared" si="47"/>
        <v>0.88452088452088451</v>
      </c>
      <c r="N39" s="8">
        <f t="shared" si="47"/>
        <v>0.41000610128126908</v>
      </c>
      <c r="O39" s="8">
        <f t="shared" ref="O39:P39" si="48">+O38/O40</f>
        <v>0.48625534514355528</v>
      </c>
      <c r="P39" s="8">
        <f t="shared" si="48"/>
        <v>0.79400977995110023</v>
      </c>
      <c r="Q39" s="8">
        <f t="shared" ref="Q39" si="49">+Q38/Q40</f>
        <v>0.72949816401468792</v>
      </c>
      <c r="R39" s="8"/>
      <c r="S39" s="8"/>
      <c r="U39" s="8">
        <f t="shared" ref="U39:AF39" si="50">+U38/U40</f>
        <v>-0.11007957559681697</v>
      </c>
      <c r="V39" s="8">
        <f t="shared" si="50"/>
        <v>-2.4739583333333332E-2</v>
      </c>
      <c r="W39" s="8">
        <f t="shared" si="50"/>
        <v>-0.66794380587484037</v>
      </c>
      <c r="X39" s="8">
        <f t="shared" si="50"/>
        <v>-0.79640718562874246</v>
      </c>
      <c r="Y39" s="8">
        <f t="shared" si="50"/>
        <v>6.7372473532242537E-3</v>
      </c>
      <c r="Z39" s="8">
        <f t="shared" si="50"/>
        <v>0.31860902255639095</v>
      </c>
      <c r="AA39" s="8">
        <f t="shared" si="50"/>
        <v>0.39821428571428569</v>
      </c>
      <c r="AB39" s="8">
        <f t="shared" si="50"/>
        <v>2.0977630488815247</v>
      </c>
      <c r="AC39" s="8">
        <f t="shared" si="50"/>
        <v>2.5134255492270139</v>
      </c>
      <c r="AD39" s="8">
        <f t="shared" si="50"/>
        <v>3.01973265436028</v>
      </c>
      <c r="AE39" s="8">
        <f t="shared" si="50"/>
        <v>2.1033846153846154</v>
      </c>
      <c r="AF39" s="8">
        <f t="shared" si="50"/>
        <v>2.4191872899480598</v>
      </c>
      <c r="AG39" s="8">
        <f t="shared" ref="AG39:AP39" si="51">+AG38/AG40</f>
        <v>4.0480791076923071</v>
      </c>
      <c r="AH39" s="8">
        <f t="shared" si="51"/>
        <v>4.766968366852308</v>
      </c>
      <c r="AI39" s="8">
        <f t="shared" si="51"/>
        <v>5.6003127836605531</v>
      </c>
      <c r="AJ39" s="8">
        <f t="shared" si="51"/>
        <v>6.5659543195770302</v>
      </c>
      <c r="AK39" s="8">
        <f t="shared" si="51"/>
        <v>7.6844943744279508</v>
      </c>
      <c r="AL39" s="8">
        <f t="shared" si="51"/>
        <v>8.979718405783963</v>
      </c>
      <c r="AM39" s="8">
        <f t="shared" si="51"/>
        <v>10.47908563022486</v>
      </c>
      <c r="AN39" s="8">
        <f t="shared" si="51"/>
        <v>12.214293749282163</v>
      </c>
      <c r="AO39" s="8">
        <f t="shared" si="51"/>
        <v>14.221930157734105</v>
      </c>
      <c r="AP39" s="8">
        <f t="shared" si="51"/>
        <v>16.544222837094168</v>
      </c>
      <c r="AQ39" s="8">
        <f t="shared" ref="AQ39:AU39" si="52">+AQ38/AQ40</f>
        <v>19.229906147522076</v>
      </c>
      <c r="AR39" s="8">
        <f t="shared" si="52"/>
        <v>22.335219047227785</v>
      </c>
      <c r="AS39" s="8">
        <f t="shared" si="52"/>
        <v>25.92505593605777</v>
      </c>
      <c r="AT39" s="8">
        <f t="shared" si="52"/>
        <v>30.074293392688453</v>
      </c>
      <c r="AU39" s="8">
        <f t="shared" si="52"/>
        <v>34.869319614117117</v>
      </c>
    </row>
    <row r="40" spans="1:143" x14ac:dyDescent="0.2">
      <c r="A40" t="s">
        <v>4</v>
      </c>
      <c r="B40" s="2">
        <v>1231</v>
      </c>
      <c r="C40" s="2">
        <v>1232</v>
      </c>
      <c r="D40" s="2">
        <v>1230</v>
      </c>
      <c r="E40" s="2">
        <v>1222</v>
      </c>
      <c r="F40" s="2">
        <v>1410</v>
      </c>
      <c r="G40" s="2">
        <v>1632</v>
      </c>
      <c r="H40" s="2">
        <v>1625</v>
      </c>
      <c r="I40" s="2">
        <v>1618</v>
      </c>
      <c r="J40" s="2">
        <v>1611</v>
      </c>
      <c r="K40" s="2">
        <v>1627</v>
      </c>
      <c r="L40" s="2">
        <v>1629</v>
      </c>
      <c r="M40" s="2">
        <v>1628</v>
      </c>
      <c r="N40" s="2">
        <v>1639</v>
      </c>
      <c r="O40" s="2">
        <v>1637</v>
      </c>
      <c r="P40" s="2">
        <v>1636</v>
      </c>
      <c r="Q40" s="2">
        <v>1634</v>
      </c>
      <c r="U40" s="2">
        <v>754</v>
      </c>
      <c r="V40" s="2">
        <v>768</v>
      </c>
      <c r="W40" s="2">
        <v>783</v>
      </c>
      <c r="X40" s="2">
        <v>835</v>
      </c>
      <c r="Y40" s="2">
        <v>1039</v>
      </c>
      <c r="Z40" s="2">
        <v>1064</v>
      </c>
      <c r="AA40" s="2">
        <v>1120</v>
      </c>
      <c r="AB40" s="2">
        <v>1207</v>
      </c>
      <c r="AC40" s="2">
        <v>1229</v>
      </c>
      <c r="AD40" s="2">
        <v>1571</v>
      </c>
      <c r="AE40" s="2">
        <v>1625</v>
      </c>
      <c r="AF40" s="2">
        <f>+AVERAGE(N40:Q40)</f>
        <v>1636.5</v>
      </c>
      <c r="AG40" s="2">
        <v>1625</v>
      </c>
      <c r="AH40" s="2">
        <v>1625</v>
      </c>
      <c r="AI40" s="2">
        <v>1625</v>
      </c>
      <c r="AJ40" s="2">
        <v>1625</v>
      </c>
      <c r="AK40" s="2">
        <v>1625</v>
      </c>
      <c r="AL40" s="2">
        <v>1625</v>
      </c>
      <c r="AM40" s="2">
        <v>1625</v>
      </c>
      <c r="AN40" s="2">
        <v>1625</v>
      </c>
      <c r="AO40" s="2">
        <v>1625</v>
      </c>
      <c r="AP40" s="2">
        <v>1625</v>
      </c>
      <c r="AQ40" s="2">
        <v>1625</v>
      </c>
      <c r="AR40" s="2">
        <v>1625</v>
      </c>
      <c r="AS40" s="2">
        <v>1625</v>
      </c>
      <c r="AT40" s="2">
        <v>1625</v>
      </c>
      <c r="AU40" s="2">
        <v>1625</v>
      </c>
    </row>
    <row r="42" spans="1:143" s="4" customFormat="1" x14ac:dyDescent="0.2">
      <c r="A42" s="4" t="s">
        <v>20</v>
      </c>
      <c r="B42" s="4">
        <f t="shared" ref="B42:Q42" si="53">+B30/B28</f>
        <v>0.46066763425253993</v>
      </c>
      <c r="C42" s="4">
        <f t="shared" si="53"/>
        <v>0.47532467532467532</v>
      </c>
      <c r="D42" s="4">
        <f t="shared" si="53"/>
        <v>0.48365406909343844</v>
      </c>
      <c r="E42" s="4">
        <f t="shared" si="53"/>
        <v>0.50269374222958974</v>
      </c>
      <c r="F42" s="4">
        <f t="shared" si="53"/>
        <v>0.51027688126380155</v>
      </c>
      <c r="G42" s="4">
        <f t="shared" si="53"/>
        <v>0.52442748091603053</v>
      </c>
      <c r="H42" s="4">
        <f t="shared" si="53"/>
        <v>0.49703504043126684</v>
      </c>
      <c r="I42" s="4">
        <f t="shared" si="53"/>
        <v>0.5083050544740132</v>
      </c>
      <c r="J42" s="4">
        <f t="shared" si="53"/>
        <v>0.49766486082570521</v>
      </c>
      <c r="K42" s="4">
        <f t="shared" si="53"/>
        <v>0.49542825153946629</v>
      </c>
      <c r="L42" s="4">
        <f t="shared" si="53"/>
        <v>0.5098275862068965</v>
      </c>
      <c r="M42" s="4">
        <f t="shared" si="53"/>
        <v>0.53907263294422825</v>
      </c>
      <c r="N42" s="4">
        <f t="shared" si="53"/>
        <v>0.5097752603690846</v>
      </c>
      <c r="O42" s="4">
        <f t="shared" si="53"/>
        <v>0.53041988003427587</v>
      </c>
      <c r="P42" s="4">
        <f t="shared" si="53"/>
        <v>0.53556239917876525</v>
      </c>
      <c r="Q42" s="4">
        <f t="shared" si="53"/>
        <v>0.53982763123530952</v>
      </c>
      <c r="U42" s="4">
        <f t="shared" ref="U42:AP42" si="54">+U30/U28</f>
        <v>0.37327797697678805</v>
      </c>
      <c r="V42" s="4">
        <f t="shared" si="54"/>
        <v>0.33399927351979658</v>
      </c>
      <c r="W42" s="4">
        <f t="shared" si="54"/>
        <v>0.27060886995740419</v>
      </c>
      <c r="X42" s="4">
        <f t="shared" si="54"/>
        <v>0.23361423220973782</v>
      </c>
      <c r="Y42" s="4">
        <f t="shared" si="54"/>
        <v>0.34209044848939762</v>
      </c>
      <c r="Z42" s="4">
        <f t="shared" si="54"/>
        <v>0.37791505791505792</v>
      </c>
      <c r="AA42" s="4">
        <f t="shared" si="54"/>
        <v>0.42608824840291187</v>
      </c>
      <c r="AB42" s="4">
        <f t="shared" si="54"/>
        <v>0.44525248386766364</v>
      </c>
      <c r="AC42" s="4">
        <f t="shared" si="54"/>
        <v>0.48247535596933189</v>
      </c>
      <c r="AD42" s="4">
        <f t="shared" si="54"/>
        <v>0.51061395703571888</v>
      </c>
      <c r="AE42" s="4">
        <f t="shared" si="54"/>
        <v>0.5027336860670194</v>
      </c>
      <c r="AF42" s="4">
        <f t="shared" si="54"/>
        <v>0.53019197207678881</v>
      </c>
      <c r="AG42" s="4">
        <f t="shared" si="54"/>
        <v>0.53</v>
      </c>
      <c r="AH42" s="4">
        <f t="shared" si="54"/>
        <v>0.53</v>
      </c>
      <c r="AI42" s="4">
        <f t="shared" si="54"/>
        <v>0.53</v>
      </c>
      <c r="AJ42" s="4">
        <f t="shared" si="54"/>
        <v>0.53</v>
      </c>
      <c r="AK42" s="4">
        <f t="shared" si="54"/>
        <v>0.53</v>
      </c>
      <c r="AL42" s="4">
        <f t="shared" si="54"/>
        <v>0.53</v>
      </c>
      <c r="AM42" s="4">
        <f t="shared" si="54"/>
        <v>0.53</v>
      </c>
      <c r="AN42" s="4">
        <f t="shared" si="54"/>
        <v>0.53</v>
      </c>
      <c r="AO42" s="4">
        <f t="shared" si="54"/>
        <v>0.53</v>
      </c>
      <c r="AP42" s="4">
        <f t="shared" si="54"/>
        <v>0.53</v>
      </c>
      <c r="AQ42" s="4">
        <f t="shared" ref="AQ42:AU42" si="55">+AQ30/AQ28</f>
        <v>0.53</v>
      </c>
      <c r="AR42" s="4">
        <f t="shared" si="55"/>
        <v>0.53</v>
      </c>
      <c r="AS42" s="4">
        <f t="shared" si="55"/>
        <v>0.53</v>
      </c>
      <c r="AT42" s="4">
        <f t="shared" si="55"/>
        <v>0.53</v>
      </c>
      <c r="AU42" s="4">
        <f t="shared" si="55"/>
        <v>0.53</v>
      </c>
    </row>
    <row r="43" spans="1:143" s="4" customFormat="1" x14ac:dyDescent="0.2">
      <c r="A43" s="4" t="s">
        <v>21</v>
      </c>
      <c r="B43" s="4">
        <f t="shared" ref="B43:Q43" si="56">+B34/B28</f>
        <v>0.19100145137880986</v>
      </c>
      <c r="C43" s="4">
        <f t="shared" si="56"/>
        <v>0.21558441558441557</v>
      </c>
      <c r="D43" s="4">
        <f t="shared" si="56"/>
        <v>0.21910503130071876</v>
      </c>
      <c r="E43" s="4">
        <f t="shared" si="56"/>
        <v>0.24927476170741816</v>
      </c>
      <c r="F43" s="4">
        <f t="shared" si="56"/>
        <v>0.22880924069984712</v>
      </c>
      <c r="G43" s="4">
        <f t="shared" si="56"/>
        <v>0.23557251908396948</v>
      </c>
      <c r="H43" s="4">
        <f t="shared" si="56"/>
        <v>0.16711590296495957</v>
      </c>
      <c r="I43" s="4">
        <f t="shared" si="56"/>
        <v>0.15895695659939274</v>
      </c>
      <c r="J43" s="4">
        <f t="shared" si="56"/>
        <v>0.12478983747431346</v>
      </c>
      <c r="K43" s="4">
        <f t="shared" si="56"/>
        <v>0.12409031535734279</v>
      </c>
      <c r="L43" s="4">
        <f t="shared" si="56"/>
        <v>0.15068965517241378</v>
      </c>
      <c r="M43" s="4">
        <f t="shared" si="56"/>
        <v>0.18968871595330739</v>
      </c>
      <c r="N43" s="4">
        <f t="shared" si="56"/>
        <v>0.11785126987027225</v>
      </c>
      <c r="O43" s="4">
        <f t="shared" si="56"/>
        <v>0.1477292202227935</v>
      </c>
      <c r="P43" s="4">
        <f t="shared" si="56"/>
        <v>0.18991054406804517</v>
      </c>
      <c r="Q43" s="4">
        <f t="shared" si="56"/>
        <v>0.21284930791329329</v>
      </c>
      <c r="U43" s="4">
        <f t="shared" ref="U43:AP43" si="57">+U34/U28</f>
        <v>1.9437629741460651E-2</v>
      </c>
      <c r="V43" s="4">
        <f t="shared" si="57"/>
        <v>2.960406828913912E-2</v>
      </c>
      <c r="W43" s="4">
        <f t="shared" si="57"/>
        <v>-8.7446755199198201E-2</v>
      </c>
      <c r="X43" s="4">
        <f t="shared" si="57"/>
        <v>-0.1100187265917603</v>
      </c>
      <c r="Y43" s="4">
        <f t="shared" si="57"/>
        <v>2.85231750797523E-2</v>
      </c>
      <c r="Z43" s="4">
        <f t="shared" si="57"/>
        <v>6.9652509652509659E-2</v>
      </c>
      <c r="AA43" s="4">
        <f t="shared" si="57"/>
        <v>8.483137720992423E-2</v>
      </c>
      <c r="AB43" s="4">
        <f t="shared" si="57"/>
        <v>0.14022329202089523</v>
      </c>
      <c r="AC43" s="4">
        <f t="shared" si="57"/>
        <v>0.2212486308871851</v>
      </c>
      <c r="AD43" s="4">
        <f t="shared" si="57"/>
        <v>0.19956781492309647</v>
      </c>
      <c r="AE43" s="4">
        <f t="shared" si="57"/>
        <v>0.14012345679012345</v>
      </c>
      <c r="AF43" s="4">
        <f t="shared" si="57"/>
        <v>0.17188287764203994</v>
      </c>
      <c r="AG43" s="4">
        <f t="shared" si="57"/>
        <v>0.27394609268954817</v>
      </c>
      <c r="AH43" s="4">
        <f t="shared" si="57"/>
        <v>0.27579050846886044</v>
      </c>
      <c r="AI43" s="4">
        <f t="shared" si="57"/>
        <v>0.27760284745201069</v>
      </c>
      <c r="AJ43" s="4">
        <f t="shared" si="57"/>
        <v>0.27938366749632354</v>
      </c>
      <c r="AK43" s="4">
        <f t="shared" si="57"/>
        <v>0.28113351675725706</v>
      </c>
      <c r="AL43" s="4">
        <f t="shared" si="57"/>
        <v>0.28285293385713089</v>
      </c>
      <c r="AM43" s="4">
        <f t="shared" si="57"/>
        <v>0.28454244805091988</v>
      </c>
      <c r="AN43" s="4">
        <f t="shared" si="57"/>
        <v>0.28620257938916482</v>
      </c>
      <c r="AO43" s="4">
        <f t="shared" si="57"/>
        <v>0.28783383887804886</v>
      </c>
      <c r="AP43" s="4">
        <f t="shared" si="57"/>
        <v>0.28943672863669151</v>
      </c>
      <c r="AQ43" s="4">
        <f t="shared" ref="AQ43:AU43" si="58">+AQ34/AQ28</f>
        <v>0.29101174205170555</v>
      </c>
      <c r="AR43" s="4">
        <f t="shared" si="58"/>
        <v>0.29255936392906723</v>
      </c>
      <c r="AS43" s="4">
        <f t="shared" si="58"/>
        <v>0.29408007064334429</v>
      </c>
      <c r="AT43" s="4">
        <f t="shared" si="58"/>
        <v>0.29557433028432961</v>
      </c>
      <c r="AU43" s="4">
        <f t="shared" si="58"/>
        <v>0.29704260280112388</v>
      </c>
    </row>
    <row r="44" spans="1:143" s="4" customFormat="1" x14ac:dyDescent="0.2">
      <c r="A44" s="4" t="s">
        <v>22</v>
      </c>
      <c r="B44" s="4">
        <f t="shared" ref="B44:Q44" si="59">+B38/B28</f>
        <v>0.1625544267053701</v>
      </c>
      <c r="C44" s="4">
        <f t="shared" si="59"/>
        <v>0.18363636363636363</v>
      </c>
      <c r="D44" s="4">
        <f t="shared" si="59"/>
        <v>0.19846974263853467</v>
      </c>
      <c r="E44" s="4">
        <f t="shared" si="59"/>
        <v>0.20016576875259012</v>
      </c>
      <c r="F44" s="4">
        <f t="shared" si="59"/>
        <v>0.20740614914217767</v>
      </c>
      <c r="G44" s="4">
        <f t="shared" si="59"/>
        <v>0.22351145038167938</v>
      </c>
      <c r="H44" s="4">
        <f t="shared" si="59"/>
        <v>0.1858041329739443</v>
      </c>
      <c r="I44" s="4">
        <f t="shared" si="59"/>
        <v>0.18306840507233435</v>
      </c>
      <c r="J44" s="4">
        <f t="shared" si="59"/>
        <v>0.11769101438445731</v>
      </c>
      <c r="K44" s="4">
        <f t="shared" si="59"/>
        <v>0.12315730546743796</v>
      </c>
      <c r="L44" s="4">
        <f t="shared" si="59"/>
        <v>0.15293103448275863</v>
      </c>
      <c r="M44" s="4">
        <f t="shared" si="59"/>
        <v>0.23346303501945526</v>
      </c>
      <c r="N44" s="4">
        <f t="shared" si="59"/>
        <v>0.12278457884158597</v>
      </c>
      <c r="O44" s="4">
        <f t="shared" si="59"/>
        <v>0.13641816623821765</v>
      </c>
      <c r="P44" s="4">
        <f t="shared" si="59"/>
        <v>0.19049714034315882</v>
      </c>
      <c r="Q44" s="4">
        <f t="shared" si="59"/>
        <v>0.15565421781143901</v>
      </c>
      <c r="U44" s="4">
        <f t="shared" ref="U44:AP44" si="60">+U38/U28</f>
        <v>-1.5663332704283828E-2</v>
      </c>
      <c r="V44" s="4">
        <f t="shared" si="60"/>
        <v>-3.4507809662186707E-3</v>
      </c>
      <c r="W44" s="4">
        <f t="shared" si="60"/>
        <v>-0.13104485091455775</v>
      </c>
      <c r="X44" s="4">
        <f t="shared" si="60"/>
        <v>-0.15566479400749064</v>
      </c>
      <c r="Y44" s="4">
        <f t="shared" si="60"/>
        <v>1.3135672734096453E-3</v>
      </c>
      <c r="Z44" s="4">
        <f t="shared" si="60"/>
        <v>5.2355212355212358E-2</v>
      </c>
      <c r="AA44" s="4">
        <f t="shared" si="60"/>
        <v>6.6260585351359383E-2</v>
      </c>
      <c r="AB44" s="4">
        <f t="shared" si="60"/>
        <v>0.25934651234251765</v>
      </c>
      <c r="AC44" s="4">
        <f t="shared" si="60"/>
        <v>0.18796397712060361</v>
      </c>
      <c r="AD44" s="4">
        <f t="shared" si="60"/>
        <v>0.20100843184610823</v>
      </c>
      <c r="AE44" s="4">
        <f t="shared" si="60"/>
        <v>0.15070546737213403</v>
      </c>
      <c r="AF44" s="4">
        <f t="shared" si="60"/>
        <v>0.15353887919332945</v>
      </c>
      <c r="AG44" s="4">
        <f t="shared" si="60"/>
        <v>0.22183873502457616</v>
      </c>
      <c r="AH44" s="4">
        <f t="shared" si="60"/>
        <v>0.22716050153380457</v>
      </c>
      <c r="AI44" s="4">
        <f t="shared" si="60"/>
        <v>0.23206251359991972</v>
      </c>
      <c r="AJ44" s="4">
        <f t="shared" si="60"/>
        <v>0.23658800661352983</v>
      </c>
      <c r="AK44" s="4">
        <f t="shared" si="60"/>
        <v>0.24077551741055905</v>
      </c>
      <c r="AL44" s="4">
        <f t="shared" si="60"/>
        <v>0.24465939942970405</v>
      </c>
      <c r="AM44" s="4">
        <f t="shared" si="60"/>
        <v>0.24827028130723069</v>
      </c>
      <c r="AN44" s="4">
        <f t="shared" si="60"/>
        <v>0.25163547512090573</v>
      </c>
      <c r="AO44" s="4">
        <f t="shared" si="60"/>
        <v>0.25477933981264211</v>
      </c>
      <c r="AP44" s="4">
        <f t="shared" si="60"/>
        <v>0.25772360471215422</v>
      </c>
      <c r="AQ44" s="4">
        <f t="shared" ref="AQ44:AU44" si="61">+AQ38/AQ28</f>
        <v>0.26048765754332215</v>
      </c>
      <c r="AR44" s="4">
        <f t="shared" si="61"/>
        <v>0.26308880081374703</v>
      </c>
      <c r="AS44" s="4">
        <f t="shared" si="61"/>
        <v>0.26554248005960696</v>
      </c>
      <c r="AT44" s="4">
        <f t="shared" si="61"/>
        <v>0.26786248703660098</v>
      </c>
      <c r="AU44" s="4">
        <f t="shared" si="61"/>
        <v>0.27006114060832093</v>
      </c>
    </row>
    <row r="45" spans="1:143" s="4" customFormat="1" x14ac:dyDescent="0.2">
      <c r="A45" s="4" t="s">
        <v>23</v>
      </c>
      <c r="B45" s="4">
        <f t="shared" ref="B45:N45" si="62">+B37/B36</f>
        <v>0.13713405238828968</v>
      </c>
      <c r="C45" s="4">
        <f t="shared" si="62"/>
        <v>0.1378048780487805</v>
      </c>
      <c r="D45" s="4">
        <f t="shared" si="62"/>
        <v>8.7420042643923238E-2</v>
      </c>
      <c r="E45" s="4">
        <f t="shared" si="62"/>
        <v>0.19163179916317991</v>
      </c>
      <c r="F45" s="4">
        <f t="shared" si="62"/>
        <v>8.4707646176911539E-2</v>
      </c>
      <c r="G45" s="4">
        <f t="shared" si="62"/>
        <v>3.5573122529644272E-2</v>
      </c>
      <c r="H45" s="4">
        <f t="shared" si="62"/>
        <v>-0.15016685205784205</v>
      </c>
      <c r="I45" s="4">
        <f t="shared" si="62"/>
        <v>-0.17680826636050517</v>
      </c>
      <c r="J45" s="4">
        <f t="shared" si="62"/>
        <v>2.0217729393468119E-2</v>
      </c>
      <c r="K45" s="4">
        <f t="shared" si="62"/>
        <v>-3.6106750392464679E-2</v>
      </c>
      <c r="L45" s="4">
        <f t="shared" si="62"/>
        <v>-4.5990566037735846E-2</v>
      </c>
      <c r="M45" s="4">
        <f t="shared" si="62"/>
        <v>-0.25984251968503935</v>
      </c>
      <c r="N45" s="4">
        <f t="shared" si="62"/>
        <v>-8.387096774193549E-2</v>
      </c>
      <c r="O45" s="4">
        <f t="shared" ref="O45:P45" si="63">+O37/O36</f>
        <v>4.8984468339307051E-2</v>
      </c>
      <c r="P45" s="4">
        <f t="shared" si="63"/>
        <v>-2.1226415094339621E-2</v>
      </c>
      <c r="Q45" s="4">
        <f t="shared" ref="Q45" si="64">+Q37/Q36</f>
        <v>0.26008690254500311</v>
      </c>
      <c r="U45" s="4">
        <f t="shared" ref="U45:AE45" si="65">+U37/U36</f>
        <v>-0.12162162162162163</v>
      </c>
      <c r="V45" s="4">
        <f t="shared" si="65"/>
        <v>-0.35714285714285715</v>
      </c>
      <c r="W45" s="4">
        <f t="shared" si="65"/>
        <v>-2.75049115913556E-2</v>
      </c>
      <c r="X45" s="4">
        <f t="shared" si="65"/>
        <v>-6.2300319488817889E-2</v>
      </c>
      <c r="Y45" s="4">
        <f t="shared" si="65"/>
        <v>0.73076923076923073</v>
      </c>
      <c r="Z45" s="4">
        <f t="shared" si="65"/>
        <v>-2.7272727272727271E-2</v>
      </c>
      <c r="AA45" s="4">
        <f t="shared" si="65"/>
        <v>6.4989517819706494E-2</v>
      </c>
      <c r="AB45" s="4">
        <f t="shared" si="65"/>
        <v>-0.91527987897125562</v>
      </c>
      <c r="AC45" s="4">
        <f t="shared" si="65"/>
        <v>0.14242087729039424</v>
      </c>
      <c r="AD45" s="4">
        <f t="shared" si="65"/>
        <v>-2.6395499783643445E-2</v>
      </c>
      <c r="AE45" s="4">
        <f t="shared" si="65"/>
        <v>-0.11263020833333333</v>
      </c>
      <c r="AF45" s="4">
        <f t="shared" ref="AF45:AP45" si="66">+AF37/AF36</f>
        <v>8.7788018433179724E-2</v>
      </c>
      <c r="AG45" s="4">
        <f t="shared" si="66"/>
        <v>0.21</v>
      </c>
      <c r="AH45" s="4">
        <f t="shared" si="66"/>
        <v>0.20999999999999996</v>
      </c>
      <c r="AI45" s="4">
        <f t="shared" si="66"/>
        <v>0.21</v>
      </c>
      <c r="AJ45" s="4">
        <f t="shared" si="66"/>
        <v>0.21</v>
      </c>
      <c r="AK45" s="4">
        <f t="shared" si="66"/>
        <v>0.21</v>
      </c>
      <c r="AL45" s="4">
        <f t="shared" si="66"/>
        <v>0.21</v>
      </c>
      <c r="AM45" s="4">
        <f t="shared" si="66"/>
        <v>0.21000000000000002</v>
      </c>
      <c r="AN45" s="4">
        <f t="shared" si="66"/>
        <v>0.21</v>
      </c>
      <c r="AO45" s="4">
        <f t="shared" si="66"/>
        <v>0.21</v>
      </c>
      <c r="AP45" s="4">
        <f t="shared" si="66"/>
        <v>0.21</v>
      </c>
      <c r="AQ45" s="4">
        <f t="shared" ref="AQ45:AU45" si="67">+AQ37/AQ36</f>
        <v>0.20999999999999996</v>
      </c>
      <c r="AR45" s="4">
        <f t="shared" si="67"/>
        <v>0.21</v>
      </c>
      <c r="AS45" s="4">
        <f t="shared" si="67"/>
        <v>0.21</v>
      </c>
      <c r="AT45" s="4">
        <f t="shared" si="67"/>
        <v>0.21</v>
      </c>
      <c r="AU45" s="4">
        <f t="shared" si="67"/>
        <v>0.21</v>
      </c>
    </row>
    <row r="46" spans="1:143" s="4" customFormat="1" x14ac:dyDescent="0.2"/>
    <row r="47" spans="1:143" s="5" customFormat="1" x14ac:dyDescent="0.2">
      <c r="A47" s="5" t="s">
        <v>24</v>
      </c>
      <c r="F47" s="5">
        <f t="shared" ref="F47:Q47" si="68">+F28/B28-1</f>
        <v>0.70885341074020314</v>
      </c>
      <c r="G47" s="5">
        <f t="shared" si="68"/>
        <v>0.70129870129870131</v>
      </c>
      <c r="H47" s="5">
        <f t="shared" si="68"/>
        <v>0.29028518432645489</v>
      </c>
      <c r="I47" s="5">
        <f t="shared" si="68"/>
        <v>0.16017405719021971</v>
      </c>
      <c r="J47" s="5">
        <f t="shared" si="68"/>
        <v>-9.0708340411075228E-2</v>
      </c>
      <c r="K47" s="5">
        <f t="shared" si="68"/>
        <v>-0.18183206106870231</v>
      </c>
      <c r="L47" s="5">
        <f t="shared" si="68"/>
        <v>4.2228212039532753E-2</v>
      </c>
      <c r="M47" s="5">
        <f t="shared" si="68"/>
        <v>0.10162529023039824</v>
      </c>
      <c r="N47" s="5">
        <f t="shared" si="68"/>
        <v>2.2417336073230043E-2</v>
      </c>
      <c r="O47" s="5">
        <f t="shared" si="68"/>
        <v>8.882254151894009E-2</v>
      </c>
      <c r="P47" s="5">
        <f t="shared" si="68"/>
        <v>0.17568965517241386</v>
      </c>
      <c r="Q47" s="5">
        <f t="shared" si="68"/>
        <v>0.24156939040207526</v>
      </c>
      <c r="V47" s="5">
        <f t="shared" ref="V47:AP47" si="69">+V28/U28-1</f>
        <v>3.9063974334780038E-2</v>
      </c>
      <c r="W47" s="5">
        <f t="shared" si="69"/>
        <v>-0.27515437704322554</v>
      </c>
      <c r="X47" s="5">
        <f t="shared" si="69"/>
        <v>7.0408418942620843E-2</v>
      </c>
      <c r="Y47" s="5">
        <f t="shared" si="69"/>
        <v>0.24742509363295873</v>
      </c>
      <c r="Z47" s="5">
        <f t="shared" si="69"/>
        <v>0.21504972790392185</v>
      </c>
      <c r="AA47" s="5">
        <f t="shared" si="69"/>
        <v>3.9536679536679609E-2</v>
      </c>
      <c r="AB47" s="5">
        <f t="shared" si="69"/>
        <v>0.45045312732134901</v>
      </c>
      <c r="AC47" s="5">
        <f t="shared" si="69"/>
        <v>0.68329406944586712</v>
      </c>
      <c r="AD47" s="5">
        <f t="shared" si="69"/>
        <v>0.43610806863818907</v>
      </c>
      <c r="AE47" s="5">
        <f t="shared" si="69"/>
        <v>-3.9023770179229644E-2</v>
      </c>
      <c r="AF47" s="5">
        <f t="shared" si="69"/>
        <v>0.13690476190476186</v>
      </c>
      <c r="AG47" s="5">
        <f t="shared" si="69"/>
        <v>0.14999999999999991</v>
      </c>
      <c r="AH47" s="5">
        <f t="shared" si="69"/>
        <v>0.14999999999999991</v>
      </c>
      <c r="AI47" s="5">
        <f t="shared" si="69"/>
        <v>0.14999999999999991</v>
      </c>
      <c r="AJ47" s="5">
        <f t="shared" si="69"/>
        <v>0.14999999999999991</v>
      </c>
      <c r="AK47" s="5">
        <f t="shared" si="69"/>
        <v>0.14999999999999991</v>
      </c>
      <c r="AL47" s="5">
        <f t="shared" si="69"/>
        <v>0.14999999999999991</v>
      </c>
      <c r="AM47" s="5">
        <f t="shared" si="69"/>
        <v>0.14999999999999991</v>
      </c>
      <c r="AN47" s="5">
        <f t="shared" si="69"/>
        <v>0.14999999999999991</v>
      </c>
      <c r="AO47" s="5">
        <f t="shared" si="69"/>
        <v>0.14999999999999991</v>
      </c>
      <c r="AP47" s="5">
        <f t="shared" si="69"/>
        <v>0.14999999999999991</v>
      </c>
      <c r="AQ47" s="5">
        <f t="shared" ref="AQ47:AU47" si="70">+AQ28/AP28-1</f>
        <v>0.14999999999999991</v>
      </c>
      <c r="AR47" s="5">
        <f t="shared" si="70"/>
        <v>0.14999999999999991</v>
      </c>
      <c r="AS47" s="5">
        <f t="shared" si="70"/>
        <v>0.14999999999999991</v>
      </c>
      <c r="AT47" s="5">
        <f t="shared" si="70"/>
        <v>0.14999999999999991</v>
      </c>
      <c r="AU47" s="5">
        <f t="shared" si="70"/>
        <v>0.14999999999999991</v>
      </c>
    </row>
    <row r="48" spans="1:143" s="4" customFormat="1" x14ac:dyDescent="0.2">
      <c r="Q48" s="2"/>
      <c r="R48" s="2"/>
      <c r="S48" s="2"/>
    </row>
    <row r="49" spans="1:47" x14ac:dyDescent="0.2">
      <c r="A49" s="4" t="s">
        <v>90</v>
      </c>
      <c r="N49" s="2">
        <f>+N50-N66</f>
        <v>3567</v>
      </c>
      <c r="O49" s="2">
        <f>+O50-O66</f>
        <v>3621</v>
      </c>
      <c r="P49" s="2">
        <f>+P50-P66</f>
        <v>2824</v>
      </c>
      <c r="Q49" s="2">
        <f>+Q50-Q66</f>
        <v>3411</v>
      </c>
      <c r="AE49" s="2">
        <f>+P49</f>
        <v>2824</v>
      </c>
      <c r="AF49" s="2">
        <f>+AE49+AF38</f>
        <v>6783</v>
      </c>
      <c r="AG49" s="2">
        <f t="shared" ref="AG49:AP49" si="71">+AF49+AG38</f>
        <v>13361.128549999999</v>
      </c>
      <c r="AH49" s="2">
        <f t="shared" si="71"/>
        <v>21107.452146135001</v>
      </c>
      <c r="AI49" s="2">
        <f t="shared" si="71"/>
        <v>30207.9604195834</v>
      </c>
      <c r="AJ49" s="2">
        <f t="shared" si="71"/>
        <v>40877.636188896075</v>
      </c>
      <c r="AK49" s="2">
        <f t="shared" si="71"/>
        <v>53364.939547341492</v>
      </c>
      <c r="AL49" s="2">
        <f t="shared" si="71"/>
        <v>67956.981956740434</v>
      </c>
      <c r="AM49" s="2">
        <f t="shared" si="71"/>
        <v>84985.496105855826</v>
      </c>
      <c r="AN49" s="2">
        <f t="shared" si="71"/>
        <v>104833.72344843934</v>
      </c>
      <c r="AO49" s="2">
        <f t="shared" si="71"/>
        <v>127944.35995475727</v>
      </c>
      <c r="AP49" s="2">
        <f t="shared" si="71"/>
        <v>154828.72206503528</v>
      </c>
      <c r="AQ49" s="2">
        <f t="shared" ref="AQ49" si="72">+AP49+AQ38</f>
        <v>186077.31955475867</v>
      </c>
      <c r="AR49" s="2">
        <f t="shared" ref="AR49" si="73">+AQ49+AR38</f>
        <v>222372.05050650382</v>
      </c>
      <c r="AS49" s="2">
        <f t="shared" ref="AS49" si="74">+AR49+AS38</f>
        <v>264500.26640259771</v>
      </c>
      <c r="AT49" s="2">
        <f t="shared" ref="AT49" si="75">+AS49+AT38</f>
        <v>313370.99316571647</v>
      </c>
      <c r="AU49" s="2">
        <f t="shared" ref="AU49" si="76">+AT49+AU38</f>
        <v>370033.63753865677</v>
      </c>
    </row>
    <row r="50" spans="1:47" x14ac:dyDescent="0.2">
      <c r="A50" s="4" t="s">
        <v>6</v>
      </c>
      <c r="N50" s="2">
        <f>4190+1845</f>
        <v>6035</v>
      </c>
      <c r="O50" s="2">
        <f>4113+1227</f>
        <v>5340</v>
      </c>
      <c r="P50" s="2">
        <f>3897+647</f>
        <v>4544</v>
      </c>
      <c r="Q50" s="2">
        <f>3787+1345</f>
        <v>5132</v>
      </c>
    </row>
    <row r="51" spans="1:47" x14ac:dyDescent="0.2">
      <c r="A51" s="4" t="s">
        <v>91</v>
      </c>
      <c r="N51" s="2">
        <v>5038</v>
      </c>
      <c r="O51" s="2">
        <v>5749</v>
      </c>
      <c r="P51" s="2">
        <v>7241</v>
      </c>
      <c r="Q51" s="2">
        <v>6192</v>
      </c>
    </row>
    <row r="52" spans="1:47" x14ac:dyDescent="0.2">
      <c r="A52" s="4" t="s">
        <v>92</v>
      </c>
      <c r="N52" s="2">
        <v>4652</v>
      </c>
      <c r="O52" s="2">
        <v>4991</v>
      </c>
      <c r="P52" s="2">
        <v>5374</v>
      </c>
      <c r="Q52" s="2">
        <v>5734</v>
      </c>
    </row>
    <row r="53" spans="1:47" x14ac:dyDescent="0.2">
      <c r="A53" s="4" t="s">
        <v>93</v>
      </c>
      <c r="N53" s="2">
        <v>31</v>
      </c>
      <c r="O53" s="2">
        <v>24</v>
      </c>
      <c r="P53" s="2">
        <v>29</v>
      </c>
      <c r="Q53" s="2">
        <v>113</v>
      </c>
    </row>
    <row r="54" spans="1:47" x14ac:dyDescent="0.2">
      <c r="A54" s="4" t="s">
        <v>94</v>
      </c>
      <c r="N54" s="2">
        <v>1328</v>
      </c>
      <c r="O54" s="2">
        <v>1361</v>
      </c>
      <c r="P54" s="2">
        <v>1547</v>
      </c>
      <c r="Q54" s="2">
        <v>1878</v>
      </c>
    </row>
    <row r="55" spans="1:47" x14ac:dyDescent="0.2">
      <c r="A55" s="4" t="s">
        <v>95</v>
      </c>
      <c r="N55" s="2">
        <v>1624</v>
      </c>
      <c r="O55" s="2">
        <v>1666</v>
      </c>
      <c r="P55" s="2">
        <v>1669</v>
      </c>
      <c r="Q55" s="2">
        <v>1802</v>
      </c>
    </row>
    <row r="56" spans="1:47" x14ac:dyDescent="0.2">
      <c r="A56" s="4" t="s">
        <v>96</v>
      </c>
      <c r="N56" s="2">
        <v>632</v>
      </c>
      <c r="O56" s="2">
        <v>635</v>
      </c>
      <c r="P56" s="2">
        <v>647</v>
      </c>
      <c r="Q56" s="2">
        <v>623</v>
      </c>
    </row>
    <row r="57" spans="1:47" x14ac:dyDescent="0.2">
      <c r="A57" s="4" t="s">
        <v>97</v>
      </c>
      <c r="N57" s="2">
        <v>24262</v>
      </c>
      <c r="O57" s="2">
        <v>24262</v>
      </c>
      <c r="P57" s="2">
        <v>24839</v>
      </c>
      <c r="Q57" s="2">
        <f>24839</f>
        <v>24839</v>
      </c>
    </row>
    <row r="58" spans="1:47" x14ac:dyDescent="0.2">
      <c r="A58" s="4" t="s">
        <v>98</v>
      </c>
      <c r="N58" s="2">
        <v>20741</v>
      </c>
      <c r="O58" s="2">
        <v>20138</v>
      </c>
      <c r="P58" s="2">
        <v>19572</v>
      </c>
      <c r="Q58" s="2">
        <v>18930</v>
      </c>
    </row>
    <row r="59" spans="1:47" x14ac:dyDescent="0.2">
      <c r="A59" s="4" t="s">
        <v>99</v>
      </c>
      <c r="N59" s="2">
        <v>106</v>
      </c>
      <c r="O59" s="2">
        <v>113</v>
      </c>
      <c r="P59" s="2">
        <v>137</v>
      </c>
      <c r="Q59" s="2">
        <v>149</v>
      </c>
    </row>
    <row r="60" spans="1:47" x14ac:dyDescent="0.2">
      <c r="A60" s="4" t="s">
        <v>100</v>
      </c>
      <c r="N60" s="2">
        <v>433</v>
      </c>
      <c r="O60" s="2">
        <v>617</v>
      </c>
      <c r="P60" s="2">
        <v>1183</v>
      </c>
      <c r="Q60" s="2">
        <v>688</v>
      </c>
    </row>
    <row r="61" spans="1:47" x14ac:dyDescent="0.2">
      <c r="A61" s="4" t="s">
        <v>108</v>
      </c>
      <c r="N61" s="2">
        <v>3013</v>
      </c>
      <c r="O61" s="2">
        <v>2990</v>
      </c>
      <c r="P61" s="2">
        <v>2854</v>
      </c>
      <c r="Q61" s="2">
        <v>3146</v>
      </c>
      <c r="AR61" s="7"/>
      <c r="AS61" s="7"/>
    </row>
    <row r="62" spans="1:47" s="7" customFormat="1" x14ac:dyDescent="0.2">
      <c r="A62" s="5" t="s">
        <v>102</v>
      </c>
      <c r="N62" s="7">
        <f>+SUM(N50:N61)</f>
        <v>67895</v>
      </c>
      <c r="O62" s="7">
        <f>+SUM(O50:O61)</f>
        <v>67886</v>
      </c>
      <c r="P62" s="7">
        <f>+SUM(P50:P61)</f>
        <v>69636</v>
      </c>
      <c r="Q62" s="7">
        <f>+SUM(Q50:Q61)</f>
        <v>69226</v>
      </c>
      <c r="AR62" s="2"/>
      <c r="AS62" s="2"/>
    </row>
    <row r="63" spans="1:47" x14ac:dyDescent="0.2">
      <c r="A63" s="4" t="s">
        <v>103</v>
      </c>
      <c r="N63" s="2">
        <v>1418</v>
      </c>
      <c r="O63" s="2">
        <v>1699</v>
      </c>
      <c r="P63" s="2">
        <v>2530</v>
      </c>
      <c r="Q63" s="2">
        <v>1990</v>
      </c>
    </row>
    <row r="64" spans="1:47" x14ac:dyDescent="0.2">
      <c r="A64" s="4" t="s">
        <v>104</v>
      </c>
      <c r="N64" s="2">
        <v>438</v>
      </c>
      <c r="O64" s="2">
        <v>420</v>
      </c>
      <c r="P64" s="2">
        <v>461</v>
      </c>
      <c r="Q64" s="2">
        <v>476</v>
      </c>
    </row>
    <row r="65" spans="1:45" x14ac:dyDescent="0.2">
      <c r="A65" s="4" t="s">
        <v>105</v>
      </c>
      <c r="N65" s="2">
        <v>3444</v>
      </c>
      <c r="O65" s="2">
        <v>3629</v>
      </c>
      <c r="P65" s="2">
        <v>4120</v>
      </c>
      <c r="Q65" s="2">
        <v>4260</v>
      </c>
    </row>
    <row r="66" spans="1:45" x14ac:dyDescent="0.2">
      <c r="A66" s="4" t="s">
        <v>7</v>
      </c>
      <c r="N66" s="2">
        <f>750+1718</f>
        <v>2468</v>
      </c>
      <c r="O66" s="2">
        <v>1719</v>
      </c>
      <c r="P66" s="2">
        <v>1720</v>
      </c>
      <c r="Q66" s="2">
        <v>1721</v>
      </c>
    </row>
    <row r="67" spans="1:45" x14ac:dyDescent="0.2">
      <c r="A67" s="4" t="s">
        <v>107</v>
      </c>
      <c r="N67" s="2">
        <v>424</v>
      </c>
      <c r="O67" s="2">
        <v>447</v>
      </c>
      <c r="P67" s="2">
        <v>389</v>
      </c>
      <c r="Q67" s="2">
        <v>555</v>
      </c>
    </row>
    <row r="68" spans="1:45" x14ac:dyDescent="0.2">
      <c r="A68" s="4" t="s">
        <v>96</v>
      </c>
      <c r="N68" s="2">
        <v>530</v>
      </c>
      <c r="O68" s="2">
        <v>526</v>
      </c>
      <c r="P68" s="2">
        <v>518</v>
      </c>
      <c r="Q68" s="2">
        <v>491</v>
      </c>
    </row>
    <row r="69" spans="1:45" x14ac:dyDescent="0.2">
      <c r="A69" s="4" t="s">
        <v>100</v>
      </c>
      <c r="N69" s="2">
        <v>1199</v>
      </c>
      <c r="O69" s="2">
        <v>1192</v>
      </c>
      <c r="P69" s="2">
        <v>1162</v>
      </c>
      <c r="Q69" s="2">
        <v>349</v>
      </c>
    </row>
    <row r="70" spans="1:45" x14ac:dyDescent="0.2">
      <c r="A70" s="4" t="s">
        <v>106</v>
      </c>
      <c r="N70" s="2">
        <v>1776</v>
      </c>
      <c r="O70" s="2">
        <v>1716</v>
      </c>
      <c r="P70" s="2">
        <v>1751</v>
      </c>
      <c r="Q70" s="2">
        <v>1816</v>
      </c>
      <c r="AR70" s="7"/>
      <c r="AS70" s="7"/>
    </row>
    <row r="71" spans="1:45" s="7" customFormat="1" x14ac:dyDescent="0.2">
      <c r="A71" s="5" t="s">
        <v>109</v>
      </c>
      <c r="N71" s="7">
        <f>+SUM(N63:N70)</f>
        <v>11697</v>
      </c>
      <c r="O71" s="7">
        <f>+SUM(O63:O70)</f>
        <v>11348</v>
      </c>
      <c r="P71" s="7">
        <f>+SUM(P63:P70)</f>
        <v>12651</v>
      </c>
      <c r="Q71" s="7">
        <f>+SUM(Q63:Q70)</f>
        <v>11658</v>
      </c>
      <c r="AR71" s="2"/>
      <c r="AS71" s="2"/>
    </row>
    <row r="72" spans="1:45" x14ac:dyDescent="0.2">
      <c r="A72" s="4" t="s">
        <v>110</v>
      </c>
      <c r="N72" s="2">
        <v>56198</v>
      </c>
      <c r="O72" s="2">
        <v>56538</v>
      </c>
      <c r="P72" s="2">
        <v>56985</v>
      </c>
      <c r="Q72" s="2">
        <v>57568</v>
      </c>
    </row>
    <row r="73" spans="1:45" x14ac:dyDescent="0.2">
      <c r="A73" s="4" t="s">
        <v>111</v>
      </c>
      <c r="N73" s="2">
        <f>+N72+N71</f>
        <v>67895</v>
      </c>
      <c r="O73" s="2">
        <f>+O72+O71</f>
        <v>67886</v>
      </c>
      <c r="P73" s="2">
        <f>+P72+P71</f>
        <v>69636</v>
      </c>
      <c r="Q73" s="2">
        <f>+Q72+Q71</f>
        <v>69226</v>
      </c>
    </row>
    <row r="75" spans="1:45" x14ac:dyDescent="0.2">
      <c r="A75" s="4" t="s">
        <v>112</v>
      </c>
      <c r="N75" s="2">
        <f>+SUM(K38:N38)</f>
        <v>3659</v>
      </c>
      <c r="O75" s="2">
        <f>+SUM(L38:O38)</f>
        <v>3795</v>
      </c>
      <c r="P75" s="2">
        <f>+SUM(M38:P38)</f>
        <v>4207</v>
      </c>
      <c r="AR75" s="4"/>
      <c r="AS75" s="4"/>
    </row>
    <row r="76" spans="1:45" s="4" customFormat="1" x14ac:dyDescent="0.2">
      <c r="A76" s="4" t="s">
        <v>113</v>
      </c>
      <c r="N76" s="4">
        <f>+N75/(N51+N52+N53+N54+N55+N56+N59+N60+N61)</f>
        <v>0.21706116153526725</v>
      </c>
      <c r="O76" s="4">
        <f>+O75/(O51+O52+O53+O54+O55+O56+O59+O60+O61)</f>
        <v>0.20913699988978288</v>
      </c>
      <c r="P76" s="4">
        <f>+P75/(P51+P52+P53+P54+P55+P56+P59+P60+P61)</f>
        <v>0.20342343213577679</v>
      </c>
      <c r="AR76" s="2"/>
      <c r="AS76" s="2"/>
    </row>
    <row r="78" spans="1:45" x14ac:dyDescent="0.2">
      <c r="A78" s="4" t="s">
        <v>114</v>
      </c>
      <c r="N78" s="2">
        <f>+N38</f>
        <v>672</v>
      </c>
      <c r="O78" s="2">
        <f>+O38</f>
        <v>796</v>
      </c>
      <c r="P78" s="2">
        <f>+P38</f>
        <v>1299</v>
      </c>
    </row>
    <row r="79" spans="1:45" x14ac:dyDescent="0.2">
      <c r="A79" s="4" t="s">
        <v>115</v>
      </c>
      <c r="N79" s="2">
        <v>123</v>
      </c>
      <c r="O79" s="2">
        <v>265</v>
      </c>
      <c r="P79" s="2">
        <v>771</v>
      </c>
    </row>
    <row r="80" spans="1:45" x14ac:dyDescent="0.2">
      <c r="A80" s="4" t="s">
        <v>116</v>
      </c>
      <c r="N80" s="2">
        <v>784</v>
      </c>
      <c r="O80" s="2">
        <v>769</v>
      </c>
      <c r="P80" s="2">
        <v>756</v>
      </c>
    </row>
    <row r="81" spans="1:16" x14ac:dyDescent="0.2">
      <c r="A81" s="4" t="s">
        <v>117</v>
      </c>
      <c r="N81" s="2">
        <v>371</v>
      </c>
      <c r="O81" s="2">
        <v>346</v>
      </c>
      <c r="P81" s="2">
        <v>351</v>
      </c>
    </row>
    <row r="82" spans="1:16" x14ac:dyDescent="0.2">
      <c r="A82" s="4" t="s">
        <v>118</v>
      </c>
      <c r="N82" s="2">
        <v>26</v>
      </c>
      <c r="O82" s="2">
        <v>26</v>
      </c>
      <c r="P82" s="2">
        <v>30</v>
      </c>
    </row>
    <row r="83" spans="1:16" x14ac:dyDescent="0.2">
      <c r="A83" s="4" t="s">
        <v>100</v>
      </c>
      <c r="N83" s="2">
        <v>-66</v>
      </c>
      <c r="O83" s="2">
        <v>-190</v>
      </c>
      <c r="P83" s="2">
        <v>-607</v>
      </c>
    </row>
    <row r="84" spans="1:16" x14ac:dyDescent="0.2">
      <c r="A84" s="4" t="s">
        <v>119</v>
      </c>
      <c r="N84" s="2">
        <v>65</v>
      </c>
      <c r="O84" s="2">
        <v>0</v>
      </c>
      <c r="P84" s="2">
        <v>0</v>
      </c>
    </row>
    <row r="85" spans="1:16" x14ac:dyDescent="0.2">
      <c r="A85" s="4" t="s">
        <v>101</v>
      </c>
      <c r="N85" s="2">
        <v>-22</v>
      </c>
      <c r="O85" s="2">
        <v>-15</v>
      </c>
      <c r="P85" s="2">
        <v>-13</v>
      </c>
    </row>
    <row r="86" spans="1:16" x14ac:dyDescent="0.2">
      <c r="A86" s="4" t="s">
        <v>120</v>
      </c>
      <c r="N86" s="2">
        <f>338-368-322+53-636+175</f>
        <v>-760</v>
      </c>
      <c r="O86" s="2">
        <f>-711-342+88-11+280+88</f>
        <v>-608</v>
      </c>
      <c r="P86" s="2">
        <f>-1489-386-16+36+832+363</f>
        <v>-660</v>
      </c>
    </row>
    <row r="87" spans="1:16" x14ac:dyDescent="0.2">
      <c r="A87" s="4" t="s">
        <v>121</v>
      </c>
      <c r="N87" s="2">
        <f>+SUM(N79:N86)</f>
        <v>521</v>
      </c>
      <c r="O87" s="2">
        <f>+SUM(O79:O86)</f>
        <v>593</v>
      </c>
      <c r="P87" s="2">
        <f>+SUM(P79:P86)</f>
        <v>628</v>
      </c>
    </row>
    <row r="89" spans="1:16" x14ac:dyDescent="0.2">
      <c r="A89" s="4" t="s">
        <v>122</v>
      </c>
      <c r="N89" s="2">
        <v>-142</v>
      </c>
      <c r="O89" s="2">
        <v>-154</v>
      </c>
      <c r="P89" s="2">
        <v>-132</v>
      </c>
    </row>
    <row r="90" spans="1:16" x14ac:dyDescent="0.2">
      <c r="A90" s="4" t="s">
        <v>152</v>
      </c>
      <c r="N90" s="2">
        <f>-433+441+2</f>
        <v>10</v>
      </c>
      <c r="O90" s="2">
        <f>-132+761</f>
        <v>629</v>
      </c>
      <c r="P90" s="2">
        <f>-142+149+589</f>
        <v>596</v>
      </c>
    </row>
    <row r="91" spans="1:16" x14ac:dyDescent="0.2">
      <c r="A91" s="4" t="s">
        <v>153</v>
      </c>
      <c r="N91" s="2">
        <v>0</v>
      </c>
      <c r="O91" s="2">
        <v>0</v>
      </c>
      <c r="P91" s="2">
        <v>-548</v>
      </c>
    </row>
    <row r="92" spans="1:16" x14ac:dyDescent="0.2">
      <c r="A92" s="4" t="s">
        <v>154</v>
      </c>
      <c r="N92" s="2">
        <v>0</v>
      </c>
      <c r="O92" s="2">
        <v>0</v>
      </c>
      <c r="P92" s="2">
        <v>-17</v>
      </c>
    </row>
    <row r="93" spans="1:16" x14ac:dyDescent="0.2">
      <c r="A93" s="4" t="s">
        <v>101</v>
      </c>
      <c r="N93" s="2">
        <v>-3</v>
      </c>
      <c r="O93" s="2">
        <v>-89</v>
      </c>
      <c r="P93" s="2">
        <v>-37</v>
      </c>
    </row>
    <row r="94" spans="1:16" x14ac:dyDescent="0.2">
      <c r="A94" s="4" t="s">
        <v>155</v>
      </c>
      <c r="N94" s="2">
        <f>+SUM(N89:N93)</f>
        <v>-135</v>
      </c>
      <c r="O94" s="2">
        <f>+SUM(O89:O93)</f>
        <v>386</v>
      </c>
      <c r="P94" s="2">
        <f>+SUM(P89:P93)</f>
        <v>-138</v>
      </c>
    </row>
    <row r="96" spans="1:16" x14ac:dyDescent="0.2">
      <c r="A96" s="4" t="s">
        <v>7</v>
      </c>
      <c r="N96" s="2">
        <v>-750</v>
      </c>
      <c r="O96" s="2">
        <v>-750</v>
      </c>
      <c r="P96" s="2">
        <v>0</v>
      </c>
    </row>
    <row r="97" spans="1:45" x14ac:dyDescent="0.2">
      <c r="A97" s="4" t="s">
        <v>157</v>
      </c>
      <c r="N97" s="2">
        <v>5</v>
      </c>
      <c r="O97" s="2">
        <v>143</v>
      </c>
      <c r="P97" s="2">
        <v>4</v>
      </c>
    </row>
    <row r="98" spans="1:45" x14ac:dyDescent="0.2">
      <c r="A98" s="4" t="s">
        <v>156</v>
      </c>
      <c r="N98" s="2">
        <v>-4</v>
      </c>
      <c r="O98" s="2">
        <v>-352</v>
      </c>
      <c r="P98" s="2">
        <v>-250</v>
      </c>
    </row>
    <row r="99" spans="1:45" x14ac:dyDescent="0.2">
      <c r="A99" s="4" t="s">
        <v>158</v>
      </c>
      <c r="N99" s="2">
        <v>-129</v>
      </c>
      <c r="O99" s="2">
        <v>-97</v>
      </c>
      <c r="P99" s="2">
        <v>-460</v>
      </c>
    </row>
    <row r="100" spans="1:45" x14ac:dyDescent="0.2">
      <c r="A100" s="4" t="s">
        <v>101</v>
      </c>
      <c r="N100" s="2">
        <v>-1</v>
      </c>
      <c r="O100" s="2">
        <v>0</v>
      </c>
      <c r="P100" s="2">
        <v>0</v>
      </c>
    </row>
    <row r="101" spans="1:45" x14ac:dyDescent="0.2">
      <c r="A101" s="4" t="s">
        <v>159</v>
      </c>
      <c r="N101" s="2">
        <f>+SUM(N96:N100)</f>
        <v>-879</v>
      </c>
      <c r="O101" s="2">
        <f>+SUM(O96:O100)</f>
        <v>-1056</v>
      </c>
      <c r="P101" s="2">
        <f>+SUM(P96:P100)</f>
        <v>-706</v>
      </c>
    </row>
    <row r="103" spans="1:45" x14ac:dyDescent="0.2">
      <c r="A103" s="4" t="s">
        <v>160</v>
      </c>
      <c r="N103" s="2">
        <f>+N87+N94+N101</f>
        <v>-493</v>
      </c>
      <c r="O103" s="2">
        <f>+O87+O94+O101</f>
        <v>-77</v>
      </c>
      <c r="P103" s="2">
        <f>+P87+P94+P101</f>
        <v>-216</v>
      </c>
    </row>
    <row r="104" spans="1:45" x14ac:dyDescent="0.2">
      <c r="AR104" s="7"/>
      <c r="AS104" s="7"/>
    </row>
    <row r="105" spans="1:45" s="7" customFormat="1" x14ac:dyDescent="0.2">
      <c r="A105" s="5" t="s">
        <v>123</v>
      </c>
      <c r="N105" s="7">
        <f>+N87+N89</f>
        <v>379</v>
      </c>
      <c r="O105" s="7">
        <f>+O87+O89</f>
        <v>439</v>
      </c>
      <c r="P105" s="7">
        <f>+P87+P89</f>
        <v>496</v>
      </c>
      <c r="AR105" s="2"/>
      <c r="AS105" s="2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Hesselberth</dc:creator>
  <cp:lastModifiedBy>Fidel</cp:lastModifiedBy>
  <dcterms:created xsi:type="dcterms:W3CDTF">2024-06-10T17:33:27Z</dcterms:created>
  <dcterms:modified xsi:type="dcterms:W3CDTF">2025-04-08T20:36:17Z</dcterms:modified>
</cp:coreProperties>
</file>