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"/>
    </mc:Choice>
  </mc:AlternateContent>
  <xr:revisionPtr revIDLastSave="0" documentId="13_ncr:1_{860B6D9B-8664-49C2-B32F-529E4A9ED37B}" xr6:coauthVersionLast="47" xr6:coauthVersionMax="47" xr10:uidLastSave="{00000000-0000-0000-0000-000000000000}"/>
  <bookViews>
    <workbookView xWindow="555" yWindow="375" windowWidth="14070" windowHeight="15300" activeTab="1" xr2:uid="{290F15CD-3A64-49A2-B586-00606854DABD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87" i="2" l="1"/>
  <c r="N55" i="2"/>
  <c r="M55" i="2"/>
  <c r="L55" i="2"/>
  <c r="O55" i="2"/>
  <c r="M54" i="2"/>
  <c r="N54" i="2"/>
  <c r="L54" i="2"/>
  <c r="O54" i="2"/>
  <c r="O82" i="2" l="1"/>
  <c r="O78" i="2"/>
  <c r="O72" i="2"/>
  <c r="O73" i="2" s="1"/>
  <c r="O84" i="2" s="1"/>
  <c r="L36" i="2"/>
  <c r="L40" i="2" s="1"/>
  <c r="L50" i="2"/>
  <c r="L52" i="2" s="1"/>
  <c r="L30" i="2"/>
  <c r="I10" i="1"/>
  <c r="J8" i="2"/>
  <c r="J28" i="2" s="1"/>
  <c r="H28" i="2"/>
  <c r="H16" i="2"/>
  <c r="H14" i="2"/>
  <c r="H10" i="2"/>
  <c r="H23" i="2" s="1"/>
  <c r="L16" i="2"/>
  <c r="L28" i="2"/>
  <c r="L23" i="2"/>
  <c r="L14" i="2"/>
  <c r="L10" i="2"/>
  <c r="M36" i="2"/>
  <c r="M50" i="2"/>
  <c r="M52" i="2" s="1"/>
  <c r="M30" i="2"/>
  <c r="I16" i="2"/>
  <c r="I28" i="2"/>
  <c r="I14" i="2"/>
  <c r="I15" i="2" s="1"/>
  <c r="I24" i="2" s="1"/>
  <c r="I10" i="2"/>
  <c r="I23" i="2" s="1"/>
  <c r="M16" i="2"/>
  <c r="M28" i="2"/>
  <c r="M14" i="2"/>
  <c r="M15" i="2" s="1"/>
  <c r="M10" i="2"/>
  <c r="M23" i="2" s="1"/>
  <c r="O50" i="2"/>
  <c r="O52" i="2" s="1"/>
  <c r="N50" i="2"/>
  <c r="N52" i="2" s="1"/>
  <c r="N36" i="2"/>
  <c r="N40" i="2" s="1"/>
  <c r="N30" i="2"/>
  <c r="J16" i="2"/>
  <c r="J14" i="2"/>
  <c r="N16" i="2"/>
  <c r="N14" i="2"/>
  <c r="N8" i="2"/>
  <c r="O30" i="2"/>
  <c r="O36" i="2"/>
  <c r="O40" i="2" s="1"/>
  <c r="K16" i="2"/>
  <c r="K14" i="2"/>
  <c r="K8" i="2"/>
  <c r="K10" i="2" s="1"/>
  <c r="O8" i="2"/>
  <c r="O10" i="2" s="1"/>
  <c r="O16" i="2"/>
  <c r="O14" i="2"/>
  <c r="I9" i="1"/>
  <c r="I6" i="1"/>
  <c r="K15" i="2" l="1"/>
  <c r="K24" i="2" s="1"/>
  <c r="H15" i="2"/>
  <c r="L15" i="2"/>
  <c r="L17" i="2" s="1"/>
  <c r="M40" i="2"/>
  <c r="I17" i="2"/>
  <c r="M17" i="2"/>
  <c r="M24" i="2"/>
  <c r="O15" i="2"/>
  <c r="O17" i="2" s="1"/>
  <c r="O19" i="2" s="1"/>
  <c r="O23" i="2"/>
  <c r="O28" i="2"/>
  <c r="N28" i="2"/>
  <c r="J10" i="2"/>
  <c r="J15" i="2" s="1"/>
  <c r="K28" i="2"/>
  <c r="N10" i="2"/>
  <c r="N23" i="2" s="1"/>
  <c r="K23" i="2"/>
  <c r="H17" i="2" l="1"/>
  <c r="H24" i="2"/>
  <c r="O20" i="2"/>
  <c r="O57" i="2"/>
  <c r="K17" i="2"/>
  <c r="J24" i="2"/>
  <c r="J17" i="2"/>
  <c r="J23" i="2"/>
  <c r="L24" i="2"/>
  <c r="L19" i="2"/>
  <c r="L26" i="2"/>
  <c r="I26" i="2"/>
  <c r="I19" i="2"/>
  <c r="M19" i="2"/>
  <c r="M26" i="2"/>
  <c r="O24" i="2"/>
  <c r="N15" i="2"/>
  <c r="N24" i="2" s="1"/>
  <c r="O26" i="2"/>
  <c r="O25" i="2"/>
  <c r="K19" i="2"/>
  <c r="K26" i="2"/>
  <c r="J26" i="2"/>
  <c r="J19" i="2"/>
  <c r="H19" i="2" l="1"/>
  <c r="H26" i="2"/>
  <c r="L20" i="2"/>
  <c r="L25" i="2"/>
  <c r="I25" i="2"/>
  <c r="I20" i="2"/>
  <c r="M20" i="2"/>
  <c r="M25" i="2"/>
  <c r="N17" i="2"/>
  <c r="K20" i="2"/>
  <c r="K25" i="2"/>
  <c r="J25" i="2"/>
  <c r="J20" i="2"/>
  <c r="H20" i="2" l="1"/>
  <c r="H25" i="2"/>
  <c r="N19" i="2"/>
  <c r="N26" i="2"/>
  <c r="N20" i="2" l="1"/>
  <c r="N25" i="2"/>
</calcChain>
</file>

<file path=xl/sharedStrings.xml><?xml version="1.0" encoding="utf-8"?>
<sst xmlns="http://schemas.openxmlformats.org/spreadsheetml/2006/main" count="97" uniqueCount="81">
  <si>
    <t>Price</t>
  </si>
  <si>
    <t>Shares</t>
  </si>
  <si>
    <t>MC</t>
  </si>
  <si>
    <t>Cash</t>
  </si>
  <si>
    <t>Debt</t>
  </si>
  <si>
    <t>EV</t>
  </si>
  <si>
    <t>Revenue</t>
  </si>
  <si>
    <t>COGS</t>
  </si>
  <si>
    <t>Gross profit</t>
  </si>
  <si>
    <t>S&amp;M</t>
  </si>
  <si>
    <t>G&amp;A</t>
  </si>
  <si>
    <t>R&amp;D</t>
  </si>
  <si>
    <t>OpEx</t>
  </si>
  <si>
    <t>OpIn</t>
  </si>
  <si>
    <t>Interest exepense</t>
  </si>
  <si>
    <t>Pretax</t>
  </si>
  <si>
    <t>Taxes</t>
  </si>
  <si>
    <t>Net income</t>
  </si>
  <si>
    <t>EPS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</si>
  <si>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</si>
  <si>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</si>
  <si>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</si>
  <si>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</si>
  <si>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</si>
  <si>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</si>
  <si>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</si>
  <si>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</si>
  <si>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</si>
  <si>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</si>
  <si>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Q324</t>
  </si>
  <si>
    <t>Q323</t>
  </si>
  <si>
    <t>Q423</t>
  </si>
  <si>
    <t>Q124</t>
  </si>
  <si>
    <t>Q224</t>
  </si>
  <si>
    <t>Q424</t>
  </si>
  <si>
    <t>Ads &amp; leads</t>
  </si>
  <si>
    <t>Services</t>
  </si>
  <si>
    <t>International</t>
  </si>
  <si>
    <t>Operating margin</t>
  </si>
  <si>
    <t>Net margin</t>
  </si>
  <si>
    <t>Tax rate</t>
  </si>
  <si>
    <t>Revenue y/y</t>
  </si>
  <si>
    <t>Net cash</t>
  </si>
  <si>
    <t>A/R</t>
  </si>
  <si>
    <t>Liabilties</t>
  </si>
  <si>
    <t>Assets</t>
  </si>
  <si>
    <t>OCA</t>
  </si>
  <si>
    <t>PP&amp;E</t>
  </si>
  <si>
    <t>Goodwill</t>
  </si>
  <si>
    <t>DT</t>
  </si>
  <si>
    <t>ONCA</t>
  </si>
  <si>
    <t>A/P</t>
  </si>
  <si>
    <t>D/R</t>
  </si>
  <si>
    <t>Accrued expense</t>
  </si>
  <si>
    <t>Other</t>
  </si>
  <si>
    <t>S/E</t>
  </si>
  <si>
    <t>L+S/E</t>
  </si>
  <si>
    <t>Discontinued operations</t>
  </si>
  <si>
    <t>Roofing</t>
  </si>
  <si>
    <t>Model NI</t>
  </si>
  <si>
    <t>Reported NI</t>
  </si>
  <si>
    <t>D&amp;A</t>
  </si>
  <si>
    <t>Provision credit losses</t>
  </si>
  <si>
    <t>SBC</t>
  </si>
  <si>
    <t>Lease</t>
  </si>
  <si>
    <t>Amort of intangible</t>
  </si>
  <si>
    <t>Working capital</t>
  </si>
  <si>
    <t>CFFO</t>
  </si>
  <si>
    <t>CapEx</t>
  </si>
  <si>
    <t>Securities</t>
  </si>
  <si>
    <t>Sales</t>
  </si>
  <si>
    <t>CFFI</t>
  </si>
  <si>
    <t>Buybacks</t>
  </si>
  <si>
    <t>ESOP</t>
  </si>
  <si>
    <t>CFFF</t>
  </si>
  <si>
    <t>FX</t>
  </si>
  <si>
    <t>CIC</t>
  </si>
  <si>
    <t>FCF</t>
  </si>
  <si>
    <t>FCF+SBC+CapEx</t>
  </si>
  <si>
    <t>ROIC</t>
  </si>
  <si>
    <t xml:space="preserve">TTM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</si>
</sst>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\x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9" fontId="0" fillId="0" borderId="0" xfId="0" applyNumberFormat="1"/>
    <xf numFmtId="9" fontId="0" fillId="0" borderId="0" xfId="0" applyNumberFormat="1" applyAlignment="1">
      <alignment horizontal="right"/>
    </xf>
    <xf numFmtId="9" fontId="1" fillId="0" borderId="0" xfId="0" applyNumberFormat="1" applyFont="1"/>
    <xf numFmtId="9" fontId="1" fillId="0" borderId="0" xfId="0" applyNumberFormat="1" applyFont="1" applyAlignment="1">
      <alignment horizontal="right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471E-6DF0-4DAE-8B37-24B853B3A300}">
  <dimension ref="H4:I10"/>
  <sheetViews>
    <sheetView workbookViewId="0">
      <selection activeCell="I10" sqref="I10"/>
    </sheetView>
  </sheetViews>
  <sheetFormatPr defaultRowHeight="12.75" x14ac:dyDescent="0.2"/>
  <sheetData>
    <row r="4" spans="8:9" x14ac:dyDescent="0.2">
      <c r="H4" t="s">
        <v>0</v>
      </c>
      <c r="I4">
        <v>2</v>
      </c>
    </row>
    <row r="5" spans="8:9" x14ac:dyDescent="0.2">
      <c r="H5" t="s">
        <v>1</v>
      </c>
      <c r="I5" s="1">
        <v>501.74185499999999</v>
      </c>
    </row>
    <row r="6" spans="8:9" x14ac:dyDescent="0.2">
      <c r="H6" t="s">
        <v>2</v>
      </c>
      <c r="I6" s="1">
        <f>+I4*I5</f>
        <v>1003.48371</v>
      </c>
    </row>
    <row r="7" spans="8:9" x14ac:dyDescent="0.2">
      <c r="H7" t="s">
        <v>3</v>
      </c>
      <c r="I7" s="1">
        <v>363.33699999999999</v>
      </c>
    </row>
    <row r="8" spans="8:9" x14ac:dyDescent="0.2">
      <c r="H8" t="s">
        <v>4</v>
      </c>
      <c r="I8" s="1">
        <v>496.24099999999999</v>
      </c>
    </row>
    <row r="9" spans="8:9" x14ac:dyDescent="0.2">
      <c r="H9" t="s">
        <v>5</v>
      </c>
      <c r="I9" s="1">
        <f>+I6-I7+I8</f>
        <v>1136.38771</v>
      </c>
    </row>
    <row r="10" spans="8:9" x14ac:dyDescent="0.2">
      <c r="I10" s="10">
        <f>+I9/63</f>
        <v>18.037900158730157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C1A76-4EE2-4923-805C-DF8952D449E0}">
  <dimension ref="B3:R87"/>
  <sheetViews>
    <sheetView tabSelected="1" workbookViewId="0">
      <pane xSplit="2" ySplit="3" topLeftCell="H25" activePane="bottomRight" state="frozen"/>
      <selection pane="topRight" activeCell="C1" sqref="C1"/>
      <selection pane="bottomLeft" activeCell="A4" sqref="A4"/>
      <selection pane="bottomRight" activeCell="Q32" sqref="Q32"/>
    </sheetView>
  </sheetViews>
  <sheetFormatPr defaultRowHeight="12.75" x14ac:dyDescent="0.2"/>
  <cols>
    <col min="1" max="1" width="2.85546875" style="1" customWidth="1"/>
    <col min="2" max="2" width="15.85546875" style="1" bestFit="1" customWidth="1"/>
    <col min="3" max="18" width="9.140625" style="2"/>
    <col min="19" max="16384" width="9.140625" style="1"/>
  </cols>
  <sheetData>
    <row r="3" spans="2:18" x14ac:dyDescent="0.2"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29</v>
      </c>
      <c r="R3" s="2" t="s">
        <v>34</v>
      </c>
    </row>
    <row r="4" spans="2:18" x14ac:dyDescent="0.2">
      <c r="B4" s="1" t="s">
        <v>35</v>
      </c>
      <c r="H4" s="2">
        <v>341.86200000000002</v>
      </c>
      <c r="I4" s="2">
        <v>345.5</v>
      </c>
      <c r="J4" s="2">
        <v>299.89999999999998</v>
      </c>
      <c r="K4" s="2">
        <v>293.50599999999997</v>
      </c>
      <c r="L4" s="2">
        <v>292.48700000000002</v>
      </c>
      <c r="M4" s="2">
        <v>292</v>
      </c>
      <c r="N4" s="2">
        <v>246.9</v>
      </c>
      <c r="O4" s="2">
        <v>249.58500000000001</v>
      </c>
    </row>
    <row r="5" spans="2:18" x14ac:dyDescent="0.2">
      <c r="B5" s="1" t="s">
        <v>36</v>
      </c>
      <c r="H5" s="2">
        <v>108.232</v>
      </c>
      <c r="I5" s="2">
        <v>105.9</v>
      </c>
      <c r="J5" s="2">
        <v>90.7</v>
      </c>
      <c r="K5" s="2">
        <v>32.058999999999997</v>
      </c>
      <c r="L5" s="2">
        <v>29.867000000000001</v>
      </c>
      <c r="M5" s="2">
        <v>30</v>
      </c>
      <c r="N5" s="2">
        <v>26.1</v>
      </c>
      <c r="O5" s="2">
        <v>20.451000000000001</v>
      </c>
    </row>
    <row r="6" spans="2:18" x14ac:dyDescent="0.2">
      <c r="B6" s="1" t="s">
        <v>58</v>
      </c>
      <c r="H6" s="2">
        <v>42.65</v>
      </c>
      <c r="I6" s="2">
        <v>26</v>
      </c>
      <c r="J6" s="2">
        <v>0</v>
      </c>
      <c r="K6" s="2">
        <v>0</v>
      </c>
      <c r="L6" s="2">
        <v>24.481999999999999</v>
      </c>
      <c r="M6" s="2">
        <v>21.4</v>
      </c>
      <c r="N6" s="2">
        <v>0</v>
      </c>
      <c r="O6" s="2">
        <v>0</v>
      </c>
    </row>
    <row r="7" spans="2:18" x14ac:dyDescent="0.2">
      <c r="B7" s="1" t="s">
        <v>37</v>
      </c>
      <c r="H7" s="2">
        <v>24.988</v>
      </c>
      <c r="I7" s="2">
        <v>23.4</v>
      </c>
      <c r="J7" s="2">
        <v>22.6</v>
      </c>
      <c r="K7" s="2">
        <v>29.931999999999999</v>
      </c>
      <c r="L7" s="2">
        <v>29.233000000000001</v>
      </c>
      <c r="M7" s="2">
        <v>29.3</v>
      </c>
      <c r="N7" s="2">
        <v>27.4</v>
      </c>
      <c r="O7" s="2">
        <v>35.353999999999999</v>
      </c>
    </row>
    <row r="8" spans="2:18" s="3" customFormat="1" x14ac:dyDescent="0.2">
      <c r="B8" s="3" t="s">
        <v>6</v>
      </c>
      <c r="C8" s="4"/>
      <c r="D8" s="4"/>
      <c r="E8" s="4"/>
      <c r="F8" s="4"/>
      <c r="G8" s="4"/>
      <c r="H8" s="4">
        <v>515.78200000000004</v>
      </c>
      <c r="I8" s="4">
        <v>498.036</v>
      </c>
      <c r="J8" s="4">
        <f>+SUM(J4:J7)</f>
        <v>413.2</v>
      </c>
      <c r="K8" s="4">
        <f>+SUM(K4:K7)</f>
        <v>355.49699999999996</v>
      </c>
      <c r="L8" s="4">
        <v>375.06799999999998</v>
      </c>
      <c r="M8" s="4">
        <v>371.83699999999999</v>
      </c>
      <c r="N8" s="4">
        <f>+SUM(N4:N7)</f>
        <v>300.39999999999998</v>
      </c>
      <c r="O8" s="4">
        <f>+SUM(O4:O7)</f>
        <v>305.39</v>
      </c>
      <c r="P8" s="4"/>
      <c r="Q8" s="4"/>
      <c r="R8" s="4"/>
    </row>
    <row r="9" spans="2:18" x14ac:dyDescent="0.2">
      <c r="B9" s="1" t="s">
        <v>7</v>
      </c>
      <c r="H9" s="2">
        <v>127.771</v>
      </c>
      <c r="I9" s="2">
        <v>109.057</v>
      </c>
      <c r="J9" s="2">
        <v>81.12</v>
      </c>
      <c r="K9" s="2">
        <v>16.937000000000001</v>
      </c>
      <c r="L9" s="2">
        <v>31.661999999999999</v>
      </c>
      <c r="M9" s="2">
        <v>28.736999999999998</v>
      </c>
      <c r="N9" s="2">
        <v>17.239000000000001</v>
      </c>
      <c r="O9" s="2">
        <v>12.497</v>
      </c>
    </row>
    <row r="10" spans="2:18" x14ac:dyDescent="0.2">
      <c r="B10" s="1" t="s">
        <v>8</v>
      </c>
      <c r="H10" s="2">
        <f>+H8-H9</f>
        <v>388.01100000000002</v>
      </c>
      <c r="I10" s="2">
        <f>+I8-I9</f>
        <v>388.97899999999998</v>
      </c>
      <c r="J10" s="2">
        <f>+J8-J9</f>
        <v>332.08</v>
      </c>
      <c r="K10" s="2">
        <f>+K8-K9</f>
        <v>338.55999999999995</v>
      </c>
      <c r="L10" s="2">
        <f>+L8-L9</f>
        <v>343.40600000000001</v>
      </c>
      <c r="M10" s="2">
        <f>+M8-M9</f>
        <v>343.09999999999997</v>
      </c>
      <c r="N10" s="2">
        <f>+N8-N9</f>
        <v>283.161</v>
      </c>
      <c r="O10" s="2">
        <f>+O8-O9</f>
        <v>292.89299999999997</v>
      </c>
    </row>
    <row r="11" spans="2:18" x14ac:dyDescent="0.2">
      <c r="B11" s="1" t="s">
        <v>9</v>
      </c>
      <c r="H11" s="2">
        <v>251.15899999999999</v>
      </c>
      <c r="I11" s="2">
        <v>234.39699999999999</v>
      </c>
      <c r="J11" s="2">
        <v>195.97499999999999</v>
      </c>
      <c r="K11" s="2">
        <v>199.61</v>
      </c>
      <c r="L11" s="2">
        <v>212.71299999999999</v>
      </c>
      <c r="M11" s="2">
        <v>204.006</v>
      </c>
      <c r="N11" s="2">
        <v>156.613</v>
      </c>
      <c r="O11" s="2">
        <v>157.05099999999999</v>
      </c>
    </row>
    <row r="12" spans="2:18" x14ac:dyDescent="0.2">
      <c r="B12" s="1" t="s">
        <v>10</v>
      </c>
      <c r="H12" s="2">
        <v>119.626</v>
      </c>
      <c r="I12" s="2">
        <v>128.26</v>
      </c>
      <c r="J12" s="2">
        <v>109.371</v>
      </c>
      <c r="K12" s="2">
        <v>96.667000000000002</v>
      </c>
      <c r="L12" s="2">
        <v>96.984999999999999</v>
      </c>
      <c r="M12" s="2">
        <v>102.476</v>
      </c>
      <c r="N12" s="2">
        <v>70.852000000000004</v>
      </c>
      <c r="O12" s="2">
        <v>85.521000000000001</v>
      </c>
    </row>
    <row r="13" spans="2:18" x14ac:dyDescent="0.2">
      <c r="B13" s="1" t="s">
        <v>11</v>
      </c>
      <c r="H13" s="2">
        <v>20.954000000000001</v>
      </c>
      <c r="I13" s="2">
        <v>15.816000000000001</v>
      </c>
      <c r="J13" s="2">
        <v>19.132999999999999</v>
      </c>
      <c r="K13" s="2">
        <v>25.312000000000001</v>
      </c>
      <c r="L13" s="2">
        <v>25.548999999999999</v>
      </c>
      <c r="M13" s="2">
        <v>21.497</v>
      </c>
      <c r="N13" s="2">
        <v>24.184999999999999</v>
      </c>
      <c r="O13" s="2">
        <v>23.756</v>
      </c>
    </row>
    <row r="14" spans="2:18" x14ac:dyDescent="0.2">
      <c r="B14" s="1" t="s">
        <v>12</v>
      </c>
      <c r="H14" s="2">
        <f>+SUM(H11:H13)</f>
        <v>391.73899999999998</v>
      </c>
      <c r="I14" s="2">
        <f>+SUM(I11:I13)</f>
        <v>378.47299999999996</v>
      </c>
      <c r="J14" s="2">
        <f>+SUM(J11:J13)</f>
        <v>324.47899999999998</v>
      </c>
      <c r="K14" s="2">
        <f>+SUM(K11:K13)</f>
        <v>321.58900000000006</v>
      </c>
      <c r="L14" s="2">
        <f>+SUM(L11:L13)</f>
        <v>335.24699999999996</v>
      </c>
      <c r="M14" s="2">
        <f>+SUM(M11:M13)</f>
        <v>327.97899999999998</v>
      </c>
      <c r="N14" s="2">
        <f>+SUM(N11:N13)</f>
        <v>251.65</v>
      </c>
      <c r="O14" s="2">
        <f>+SUM(O11:O13)</f>
        <v>266.32799999999997</v>
      </c>
    </row>
    <row r="15" spans="2:18" x14ac:dyDescent="0.2">
      <c r="B15" s="1" t="s">
        <v>13</v>
      </c>
      <c r="H15" s="2">
        <f>+H10-H14</f>
        <v>-3.7279999999999518</v>
      </c>
      <c r="I15" s="2">
        <f>+I10-I14</f>
        <v>10.506000000000029</v>
      </c>
      <c r="J15" s="2">
        <f>+J10-J14</f>
        <v>7.6009999999999991</v>
      </c>
      <c r="K15" s="2">
        <f>+K10-K14</f>
        <v>16.97099999999989</v>
      </c>
      <c r="L15" s="2">
        <f>+L10-L14</f>
        <v>8.1590000000000487</v>
      </c>
      <c r="M15" s="2">
        <f>+M10-M14</f>
        <v>15.120999999999981</v>
      </c>
      <c r="N15" s="2">
        <f>+N10-N14</f>
        <v>31.510999999999996</v>
      </c>
      <c r="O15" s="2">
        <f>+O10-O14</f>
        <v>26.564999999999998</v>
      </c>
    </row>
    <row r="16" spans="2:18" x14ac:dyDescent="0.2">
      <c r="B16" s="1" t="s">
        <v>14</v>
      </c>
      <c r="H16" s="2">
        <f>-5.026-1.75</f>
        <v>-6.7759999999999998</v>
      </c>
      <c r="I16" s="2">
        <f>-5.03-2.296</f>
        <v>-7.3260000000000005</v>
      </c>
      <c r="J16" s="2">
        <f>-5.03+5.613</f>
        <v>0.58300000000000018</v>
      </c>
      <c r="K16" s="2">
        <f>-5.029+3.807</f>
        <v>-1.222</v>
      </c>
      <c r="L16" s="2">
        <f>-5.034+5.188</f>
        <v>0.15399999999999991</v>
      </c>
      <c r="M16" s="2">
        <f>-5.037+3.891</f>
        <v>-1.1459999999999999</v>
      </c>
      <c r="N16" s="2">
        <f>-5.037+5.547</f>
        <v>0.50999999999999979</v>
      </c>
      <c r="O16" s="2">
        <f>-5.038+4.484</f>
        <v>-0.55400000000000027</v>
      </c>
    </row>
    <row r="17" spans="2:18" x14ac:dyDescent="0.2">
      <c r="B17" s="1" t="s">
        <v>15</v>
      </c>
      <c r="H17" s="2">
        <f>+H15+H16</f>
        <v>-10.503999999999952</v>
      </c>
      <c r="I17" s="2">
        <f>+I15+I16</f>
        <v>3.1800000000000281</v>
      </c>
      <c r="J17" s="2">
        <f>+J15+J16</f>
        <v>8.1839999999999993</v>
      </c>
      <c r="K17" s="2">
        <f>+K15+K16</f>
        <v>15.74899999999989</v>
      </c>
      <c r="L17" s="2">
        <f>+L15+L16</f>
        <v>8.3130000000000486</v>
      </c>
      <c r="M17" s="2">
        <f>+M15+M16</f>
        <v>13.97499999999998</v>
      </c>
      <c r="N17" s="2">
        <f>+N15+N16</f>
        <v>32.020999999999994</v>
      </c>
      <c r="O17" s="2">
        <f>+O15+O16</f>
        <v>26.010999999999996</v>
      </c>
    </row>
    <row r="18" spans="2:18" x14ac:dyDescent="0.2">
      <c r="B18" s="1" t="s">
        <v>16</v>
      </c>
      <c r="H18" s="2">
        <v>3.665</v>
      </c>
      <c r="I18" s="2">
        <v>0.94499999999999995</v>
      </c>
      <c r="J18" s="2">
        <v>5.6509999999999998</v>
      </c>
      <c r="K18" s="2">
        <v>1.8839999999999999</v>
      </c>
      <c r="L18" s="2">
        <v>2.0499999999999998</v>
      </c>
      <c r="M18" s="2">
        <v>5.9669999999999996</v>
      </c>
      <c r="N18" s="2">
        <v>5.6509999999999998</v>
      </c>
      <c r="O18" s="2">
        <v>3.4790000000000001</v>
      </c>
    </row>
    <row r="19" spans="2:18" x14ac:dyDescent="0.2">
      <c r="B19" s="1" t="s">
        <v>17</v>
      </c>
      <c r="H19" s="2">
        <f>+H17-H18</f>
        <v>-14.168999999999951</v>
      </c>
      <c r="I19" s="2">
        <f>+I17-I18</f>
        <v>2.2350000000000283</v>
      </c>
      <c r="J19" s="2">
        <f>+J17-J18</f>
        <v>2.5329999999999995</v>
      </c>
      <c r="K19" s="2">
        <f>+K17-K18</f>
        <v>13.86499999999989</v>
      </c>
      <c r="L19" s="2">
        <f>+L17-L18</f>
        <v>6.2630000000000488</v>
      </c>
      <c r="M19" s="2">
        <f>+M17-M18</f>
        <v>8.0079999999999814</v>
      </c>
      <c r="N19" s="2">
        <f>+N17-N18</f>
        <v>26.369999999999994</v>
      </c>
      <c r="O19" s="2">
        <f>+O17-O18</f>
        <v>22.531999999999996</v>
      </c>
    </row>
    <row r="20" spans="2:18" x14ac:dyDescent="0.2">
      <c r="B20" s="1" t="s">
        <v>18</v>
      </c>
      <c r="H20" s="5">
        <f>+H19/H21</f>
        <v>-2.8199652504811299E-2</v>
      </c>
      <c r="I20" s="5">
        <f>+I19/I21</f>
        <v>4.4140998396309701E-3</v>
      </c>
      <c r="J20" s="5">
        <f>+J19/J21</f>
        <v>5.017998508713443E-3</v>
      </c>
      <c r="K20" s="5">
        <f>+K19/K21</f>
        <v>2.7585068052452196E-2</v>
      </c>
      <c r="L20" s="5">
        <f>+L19/L21</f>
        <v>1.2375367032480742E-2</v>
      </c>
      <c r="M20" s="5">
        <f>+M19/M21</f>
        <v>1.5815709850453816E-2</v>
      </c>
      <c r="N20" s="5">
        <f>+N19/N21</f>
        <v>5.2526287659084951E-2</v>
      </c>
      <c r="O20" s="5">
        <f>+O19/O21</f>
        <v>4.482847121225083E-2</v>
      </c>
    </row>
    <row r="21" spans="2:18" x14ac:dyDescent="0.2">
      <c r="B21" s="1" t="s">
        <v>1</v>
      </c>
      <c r="H21" s="2">
        <v>502.45299999999997</v>
      </c>
      <c r="I21" s="2">
        <v>506.33199999999999</v>
      </c>
      <c r="J21" s="2">
        <v>504.78293200000002</v>
      </c>
      <c r="K21" s="2">
        <v>502.62700000000001</v>
      </c>
      <c r="L21" s="2">
        <v>506.08600000000001</v>
      </c>
      <c r="M21" s="2">
        <v>506.33199999999999</v>
      </c>
      <c r="N21" s="2">
        <v>502.03433699999999</v>
      </c>
      <c r="O21" s="2">
        <v>502.62700000000001</v>
      </c>
    </row>
    <row r="23" spans="2:18" s="6" customFormat="1" x14ac:dyDescent="0.2">
      <c r="B23" s="6" t="s">
        <v>8</v>
      </c>
      <c r="C23" s="7"/>
      <c r="D23" s="7"/>
      <c r="E23" s="7"/>
      <c r="F23" s="7"/>
      <c r="G23" s="7"/>
      <c r="H23" s="7">
        <f>+H10/H8</f>
        <v>0.75227712483180875</v>
      </c>
      <c r="I23" s="7">
        <f>+I10/I8</f>
        <v>0.78102586961585108</v>
      </c>
      <c r="J23" s="7">
        <f>+J10/J8</f>
        <v>0.80367860600193608</v>
      </c>
      <c r="K23" s="7">
        <f>+K10/K8</f>
        <v>0.95235684126729614</v>
      </c>
      <c r="L23" s="7">
        <f>+L10/L8</f>
        <v>0.9155833075602291</v>
      </c>
      <c r="M23" s="7">
        <f>+M10/M8</f>
        <v>0.92271613637158212</v>
      </c>
      <c r="N23" s="7">
        <f>+N10/N8</f>
        <v>0.9426131824234355</v>
      </c>
      <c r="O23" s="7">
        <f>+O10/O8</f>
        <v>0.959078555289957</v>
      </c>
      <c r="P23" s="7"/>
      <c r="Q23" s="7"/>
      <c r="R23" s="7"/>
    </row>
    <row r="24" spans="2:18" s="6" customFormat="1" x14ac:dyDescent="0.2">
      <c r="B24" s="6" t="s">
        <v>38</v>
      </c>
      <c r="C24" s="7"/>
      <c r="D24" s="7"/>
      <c r="E24" s="7"/>
      <c r="F24" s="7"/>
      <c r="G24" s="7"/>
      <c r="H24" s="7">
        <f>+H15/H8</f>
        <v>-7.2278598322546182E-3</v>
      </c>
      <c r="I24" s="7">
        <f>+I15/I8</f>
        <v>2.1094860612485902E-2</v>
      </c>
      <c r="J24" s="7">
        <f>+J15/J8</f>
        <v>1.8395450145208131E-2</v>
      </c>
      <c r="K24" s="7">
        <f>+K15/K8</f>
        <v>4.7738799483539644E-2</v>
      </c>
      <c r="L24" s="7">
        <f>+L15/L8</f>
        <v>2.175338871884578E-2</v>
      </c>
      <c r="M24" s="7">
        <f>+M15/M8</f>
        <v>4.0665668021202792E-2</v>
      </c>
      <c r="N24" s="7">
        <f>+N15/N8</f>
        <v>0.10489680426098534</v>
      </c>
      <c r="O24" s="7">
        <f>+O15/O8</f>
        <v>8.6987131209273386E-2</v>
      </c>
      <c r="P24" s="7"/>
      <c r="Q24" s="7"/>
      <c r="R24" s="7"/>
    </row>
    <row r="25" spans="2:18" s="6" customFormat="1" x14ac:dyDescent="0.2">
      <c r="B25" s="6" t="s">
        <v>39</v>
      </c>
      <c r="C25" s="7"/>
      <c r="D25" s="7"/>
      <c r="E25" s="7"/>
      <c r="F25" s="7"/>
      <c r="G25" s="7"/>
      <c r="H25" s="7">
        <f>+H19/H8</f>
        <v>-2.7470908251935797E-2</v>
      </c>
      <c r="I25" s="7">
        <f>+I19/I8</f>
        <v>4.4876274004289418E-3</v>
      </c>
      <c r="J25" s="7">
        <f>+J19/J8</f>
        <v>6.1302032913843167E-3</v>
      </c>
      <c r="K25" s="7">
        <f>+K19/K8</f>
        <v>3.9001735598331047E-2</v>
      </c>
      <c r="L25" s="7">
        <f>+L19/L8</f>
        <v>1.6698305373958985E-2</v>
      </c>
      <c r="M25" s="7">
        <f>+M19/M8</f>
        <v>2.1536318333032971E-2</v>
      </c>
      <c r="N25" s="7">
        <f>+N19/N8</f>
        <v>8.7782956058588532E-2</v>
      </c>
      <c r="O25" s="7">
        <f>+O19/O8</f>
        <v>7.3781066832574738E-2</v>
      </c>
      <c r="P25" s="7"/>
      <c r="Q25" s="7"/>
      <c r="R25" s="7"/>
    </row>
    <row r="26" spans="2:18" s="6" customFormat="1" x14ac:dyDescent="0.2">
      <c r="B26" s="6" t="s">
        <v>40</v>
      </c>
      <c r="C26" s="7"/>
      <c r="D26" s="7"/>
      <c r="E26" s="7"/>
      <c r="F26" s="7"/>
      <c r="G26" s="7"/>
      <c r="H26" s="7">
        <f>+H18/H17</f>
        <v>-0.34891469916222551</v>
      </c>
      <c r="I26" s="7">
        <f>+I18/I17</f>
        <v>0.2971698113207521</v>
      </c>
      <c r="J26" s="7">
        <f>+J18/J17</f>
        <v>0.69049364613880748</v>
      </c>
      <c r="K26" s="7">
        <f>+K18/K17</f>
        <v>0.1196266429614587</v>
      </c>
      <c r="L26" s="7">
        <f>+L18/L17</f>
        <v>0.24660170816792829</v>
      </c>
      <c r="M26" s="7">
        <f>+M18/M17</f>
        <v>0.42697674418604709</v>
      </c>
      <c r="N26" s="7">
        <f>+N18/N17</f>
        <v>0.17647793635426753</v>
      </c>
      <c r="O26" s="7">
        <f>+O18/O17</f>
        <v>0.1337511053016032</v>
      </c>
      <c r="P26" s="7"/>
      <c r="Q26" s="7"/>
      <c r="R26" s="7"/>
    </row>
    <row r="28" spans="2:18" s="8" customFormat="1" x14ac:dyDescent="0.2">
      <c r="B28" s="8" t="s">
        <v>41</v>
      </c>
      <c r="C28" s="9"/>
      <c r="D28" s="9"/>
      <c r="E28" s="9"/>
      <c r="F28" s="9"/>
      <c r="G28" s="9"/>
      <c r="H28" s="9" t="e">
        <f>+H8/D8-1</f>
        <v>#DIV/0!</v>
      </c>
      <c r="I28" s="9" t="e">
        <f>+I8/E8-1</f>
        <v>#DIV/0!</v>
      </c>
      <c r="J28" s="9" t="e">
        <f>+J8/F8-1</f>
        <v>#DIV/0!</v>
      </c>
      <c r="K28" s="9" t="e">
        <f>+K8/G8-1</f>
        <v>#DIV/0!</v>
      </c>
      <c r="L28" s="9">
        <f>+L8/H8-1</f>
        <v>-0.27281681020276016</v>
      </c>
      <c r="M28" s="9">
        <f>+M8/I8-1</f>
        <v>-0.25339332899629752</v>
      </c>
      <c r="N28" s="9">
        <f>+N8/J8-1</f>
        <v>-0.27299128751210067</v>
      </c>
      <c r="O28" s="9">
        <f>+O8/K8-1</f>
        <v>-0.14094915006315101</v>
      </c>
      <c r="P28" s="9"/>
      <c r="Q28" s="9"/>
      <c r="R28" s="9"/>
    </row>
    <row r="30" spans="2:18" x14ac:dyDescent="0.2">
      <c r="B30" s="1" t="s">
        <v>42</v>
      </c>
      <c r="L30" s="2">
        <f>+L31-L46</f>
        <v>-125.08100000000002</v>
      </c>
      <c r="M30" s="2">
        <f>+M31-M46</f>
        <v>-129.02800000000002</v>
      </c>
      <c r="N30" s="2">
        <f>+N31-N46</f>
        <v>-132.00300000000004</v>
      </c>
      <c r="O30" s="2">
        <f>+O31-O46</f>
        <v>-132.904</v>
      </c>
    </row>
    <row r="31" spans="2:18" x14ac:dyDescent="0.2">
      <c r="B31" s="1" t="s">
        <v>3</v>
      </c>
      <c r="L31" s="2">
        <v>370.57900000000001</v>
      </c>
      <c r="M31" s="2">
        <v>366.82499999999999</v>
      </c>
      <c r="N31" s="2">
        <v>364.04399999999998</v>
      </c>
      <c r="O31" s="2">
        <v>363.33699999999999</v>
      </c>
    </row>
    <row r="32" spans="2:18" x14ac:dyDescent="0.2">
      <c r="B32" s="1" t="s">
        <v>43</v>
      </c>
      <c r="L32" s="2">
        <v>78.483999999999995</v>
      </c>
      <c r="M32" s="2">
        <v>77.269000000000005</v>
      </c>
      <c r="N32" s="2">
        <v>51.1</v>
      </c>
      <c r="O32" s="2">
        <v>60.81</v>
      </c>
    </row>
    <row r="33" spans="2:15" x14ac:dyDescent="0.2">
      <c r="B33" s="1" t="s">
        <v>46</v>
      </c>
      <c r="L33" s="2">
        <v>62.279000000000003</v>
      </c>
      <c r="M33" s="2">
        <v>71.701999999999998</v>
      </c>
      <c r="N33" s="2">
        <v>72.075000000000003</v>
      </c>
      <c r="O33" s="2">
        <v>57.661999999999999</v>
      </c>
    </row>
    <row r="34" spans="2:15" x14ac:dyDescent="0.2">
      <c r="B34" s="1" t="s">
        <v>57</v>
      </c>
      <c r="L34" s="2">
        <v>0</v>
      </c>
      <c r="M34" s="2">
        <v>0</v>
      </c>
      <c r="N34" s="2">
        <v>0</v>
      </c>
      <c r="O34" s="2">
        <v>0</v>
      </c>
    </row>
    <row r="35" spans="2:15" x14ac:dyDescent="0.2">
      <c r="B35" s="1" t="s">
        <v>47</v>
      </c>
      <c r="L35" s="2">
        <v>129.66999999999999</v>
      </c>
      <c r="M35" s="2">
        <v>121.244</v>
      </c>
      <c r="N35" s="2">
        <v>109.527</v>
      </c>
      <c r="O35" s="2">
        <v>99.893000000000001</v>
      </c>
    </row>
    <row r="36" spans="2:15" x14ac:dyDescent="0.2">
      <c r="B36" s="1" t="s">
        <v>48</v>
      </c>
      <c r="L36" s="2">
        <f>885.893+173.388</f>
        <v>1059.2809999999999</v>
      </c>
      <c r="M36" s="2">
        <f>883.468+170.263</f>
        <v>1053.731</v>
      </c>
      <c r="N36" s="2">
        <f>886.047+170.773</f>
        <v>1056.82</v>
      </c>
      <c r="O36" s="2">
        <f>885.234+170.612</f>
        <v>1055.846</v>
      </c>
    </row>
    <row r="37" spans="2:15" x14ac:dyDescent="0.2">
      <c r="B37" s="1" t="s">
        <v>49</v>
      </c>
      <c r="L37" s="2">
        <v>148.85</v>
      </c>
      <c r="M37" s="2">
        <v>158.495</v>
      </c>
      <c r="N37" s="2">
        <v>148.18299999999999</v>
      </c>
      <c r="O37" s="2">
        <v>147.25800000000001</v>
      </c>
    </row>
    <row r="38" spans="2:15" x14ac:dyDescent="0.2">
      <c r="B38" s="1" t="s">
        <v>50</v>
      </c>
      <c r="L38" s="2">
        <v>53.075000000000003</v>
      </c>
      <c r="M38" s="2">
        <v>56.493000000000002</v>
      </c>
      <c r="N38" s="2">
        <v>54.466000000000001</v>
      </c>
      <c r="O38" s="2">
        <v>50.168999999999997</v>
      </c>
    </row>
    <row r="39" spans="2:15" x14ac:dyDescent="0.2">
      <c r="B39" s="1" t="s">
        <v>57</v>
      </c>
      <c r="L39" s="2">
        <v>0</v>
      </c>
      <c r="M39" s="2">
        <v>0</v>
      </c>
      <c r="N39" s="2">
        <v>0</v>
      </c>
      <c r="O39" s="2">
        <v>0</v>
      </c>
    </row>
    <row r="40" spans="2:15" x14ac:dyDescent="0.2">
      <c r="B40" s="1" t="s">
        <v>45</v>
      </c>
      <c r="L40" s="2">
        <f>+SUM(L31:L39)</f>
        <v>1902.2179999999998</v>
      </c>
      <c r="M40" s="2">
        <f>+SUM(M31:M39)</f>
        <v>1905.759</v>
      </c>
      <c r="N40" s="2">
        <f>+SUM(N31:N39)</f>
        <v>1856.2149999999997</v>
      </c>
      <c r="O40" s="2">
        <f>+SUM(O31:O39)</f>
        <v>1834.9750000000001</v>
      </c>
    </row>
    <row r="42" spans="2:15" x14ac:dyDescent="0.2">
      <c r="B42" s="1" t="s">
        <v>51</v>
      </c>
      <c r="L42" s="2">
        <v>36.924999999999997</v>
      </c>
      <c r="M42" s="2">
        <v>52.79</v>
      </c>
      <c r="N42" s="2">
        <v>29.466999999999999</v>
      </c>
      <c r="O42" s="2">
        <v>30.533999999999999</v>
      </c>
    </row>
    <row r="43" spans="2:15" x14ac:dyDescent="0.2">
      <c r="B43" s="1" t="s">
        <v>52</v>
      </c>
      <c r="L43" s="2">
        <v>53.99</v>
      </c>
      <c r="M43" s="2">
        <v>55.161999999999999</v>
      </c>
      <c r="N43" s="2">
        <v>49.859000000000002</v>
      </c>
      <c r="O43" s="2">
        <v>50.084000000000003</v>
      </c>
    </row>
    <row r="44" spans="2:15" x14ac:dyDescent="0.2">
      <c r="B44" s="1" t="s">
        <v>53</v>
      </c>
      <c r="L44" s="2">
        <v>212.49299999999999</v>
      </c>
      <c r="M44" s="2">
        <v>195.76499999999999</v>
      </c>
      <c r="N44" s="2">
        <v>179.32900000000001</v>
      </c>
      <c r="O44" s="2">
        <v>161.60599999999999</v>
      </c>
    </row>
    <row r="45" spans="2:15" x14ac:dyDescent="0.2">
      <c r="B45" s="1" t="s">
        <v>57</v>
      </c>
      <c r="L45" s="2">
        <v>0</v>
      </c>
      <c r="M45" s="2">
        <v>0</v>
      </c>
      <c r="N45" s="2">
        <v>0</v>
      </c>
      <c r="O45" s="2">
        <v>0</v>
      </c>
    </row>
    <row r="46" spans="2:15" x14ac:dyDescent="0.2">
      <c r="B46" s="1" t="s">
        <v>4</v>
      </c>
      <c r="L46" s="2">
        <v>495.66</v>
      </c>
      <c r="M46" s="2">
        <v>495.85300000000001</v>
      </c>
      <c r="N46" s="2">
        <v>496.04700000000003</v>
      </c>
      <c r="O46" s="2">
        <v>496.24099999999999</v>
      </c>
    </row>
    <row r="47" spans="2:15" x14ac:dyDescent="0.2">
      <c r="B47" s="1" t="s">
        <v>49</v>
      </c>
      <c r="L47" s="2">
        <v>3.0139999999999998</v>
      </c>
      <c r="M47" s="2">
        <v>2.923</v>
      </c>
      <c r="N47" s="2">
        <v>2.7389999999999999</v>
      </c>
      <c r="O47" s="2">
        <v>3.0339999999999998</v>
      </c>
    </row>
    <row r="48" spans="2:15" x14ac:dyDescent="0.2">
      <c r="B48" s="1" t="s">
        <v>54</v>
      </c>
      <c r="L48" s="2">
        <v>58.252000000000002</v>
      </c>
      <c r="M48" s="2">
        <v>57.988999999999997</v>
      </c>
      <c r="N48" s="2">
        <v>54.265999999999998</v>
      </c>
      <c r="O48" s="2">
        <v>50.433</v>
      </c>
    </row>
    <row r="49" spans="2:18" x14ac:dyDescent="0.2">
      <c r="B49" s="1" t="s">
        <v>57</v>
      </c>
      <c r="L49" s="2">
        <v>0</v>
      </c>
      <c r="M49" s="2">
        <v>0</v>
      </c>
      <c r="N49" s="2">
        <v>0</v>
      </c>
      <c r="O49" s="2">
        <v>0</v>
      </c>
    </row>
    <row r="50" spans="2:18" x14ac:dyDescent="0.2">
      <c r="B50" s="1" t="s">
        <v>44</v>
      </c>
      <c r="L50" s="2">
        <f>+SUM(L42:L49)</f>
        <v>860.33399999999995</v>
      </c>
      <c r="M50" s="2">
        <f>+SUM(M42:M49)</f>
        <v>860.48199999999997</v>
      </c>
      <c r="N50" s="2">
        <f>+SUM(N42:N49)</f>
        <v>811.70699999999999</v>
      </c>
      <c r="O50" s="2">
        <f>+SUM(O42:O49)</f>
        <v>791.9319999999999</v>
      </c>
    </row>
    <row r="51" spans="2:18" x14ac:dyDescent="0.2">
      <c r="B51" s="1" t="s">
        <v>55</v>
      </c>
      <c r="L51" s="2">
        <v>1041.884</v>
      </c>
      <c r="M51" s="2">
        <v>1045.277</v>
      </c>
      <c r="N51" s="2">
        <v>1044.508</v>
      </c>
      <c r="O51" s="2">
        <v>1043.0429999999999</v>
      </c>
    </row>
    <row r="52" spans="2:18" x14ac:dyDescent="0.2">
      <c r="B52" s="1" t="s">
        <v>56</v>
      </c>
      <c r="L52" s="2">
        <f>+L50+L51</f>
        <v>1902.2179999999998</v>
      </c>
      <c r="M52" s="2">
        <f>+M50+M51</f>
        <v>1905.759</v>
      </c>
      <c r="N52" s="2">
        <f>+N50+N51</f>
        <v>1856.2150000000001</v>
      </c>
      <c r="O52" s="2">
        <f>+O50+O51</f>
        <v>1834.9749999999999</v>
      </c>
    </row>
    <row r="54" spans="2:18" x14ac:dyDescent="0.2">
      <c r="B54" s="1" t="s">
        <v>80</v>
      </c>
      <c r="L54" s="2">
        <f t="shared" ref="L54:N54" si="0">+SUM(I19:L19)</f>
        <v>24.895999999999965</v>
      </c>
      <c r="M54" s="2">
        <f>+SUM(J19:M19)</f>
        <v>30.668999999999919</v>
      </c>
      <c r="N54" s="2">
        <f>+SUM(K19:N19)</f>
        <v>54.505999999999915</v>
      </c>
      <c r="O54" s="2">
        <f>+SUM(L19:O19)</f>
        <v>63.173000000000016</v>
      </c>
    </row>
    <row r="55" spans="2:18" s="6" customFormat="1" x14ac:dyDescent="0.2">
      <c r="B55" s="6" t="s">
        <v>79</v>
      </c>
      <c r="C55" s="7"/>
      <c r="D55" s="7"/>
      <c r="E55" s="7"/>
      <c r="F55" s="7"/>
      <c r="G55" s="7"/>
      <c r="H55" s="7"/>
      <c r="I55" s="7"/>
      <c r="J55" s="7"/>
      <c r="K55" s="7"/>
      <c r="L55" s="7">
        <f t="shared" ref="L55:N55" si="1">+L54/(L32+L33+L35+L37+L38)</f>
        <v>5.2705786712620439E-2</v>
      </c>
      <c r="M55" s="7">
        <f t="shared" si="1"/>
        <v>6.3208595165322387E-2</v>
      </c>
      <c r="N55" s="7">
        <f>+N54/(N32+N33+N35+N37+N38)</f>
        <v>0.12520012587544282</v>
      </c>
      <c r="O55" s="7">
        <f>+O54/(O32+O33+O35+O37+O38)</f>
        <v>0.1519341401469966</v>
      </c>
      <c r="P55" s="7"/>
      <c r="Q55" s="7"/>
      <c r="R55" s="7"/>
    </row>
    <row r="57" spans="2:18" x14ac:dyDescent="0.2">
      <c r="B57" s="1" t="s">
        <v>59</v>
      </c>
      <c r="O57" s="2">
        <f>+O19</f>
        <v>22.531999999999996</v>
      </c>
    </row>
    <row r="58" spans="2:18" x14ac:dyDescent="0.2">
      <c r="B58" s="1" t="s">
        <v>60</v>
      </c>
      <c r="O58" s="2">
        <v>-1.3169999999999999</v>
      </c>
    </row>
    <row r="59" spans="2:18" x14ac:dyDescent="0.2">
      <c r="B59" s="1" t="s">
        <v>61</v>
      </c>
      <c r="O59" s="2">
        <v>23.849</v>
      </c>
    </row>
    <row r="60" spans="2:18" x14ac:dyDescent="0.2">
      <c r="B60" s="1" t="s">
        <v>62</v>
      </c>
      <c r="O60" s="2">
        <v>15.91</v>
      </c>
    </row>
    <row r="61" spans="2:18" x14ac:dyDescent="0.2">
      <c r="B61" s="1" t="s">
        <v>63</v>
      </c>
      <c r="O61" s="2">
        <v>9.3970000000000002</v>
      </c>
    </row>
    <row r="62" spans="2:18" x14ac:dyDescent="0.2">
      <c r="B62" s="1" t="s">
        <v>64</v>
      </c>
      <c r="O62" s="2">
        <v>4.7519999999999998</v>
      </c>
    </row>
    <row r="63" spans="2:18" x14ac:dyDescent="0.2">
      <c r="B63" s="1" t="s">
        <v>49</v>
      </c>
      <c r="O63" s="2">
        <v>1.2529999999999999</v>
      </c>
    </row>
    <row r="64" spans="2:18" x14ac:dyDescent="0.2">
      <c r="B64" s="1" t="s">
        <v>65</v>
      </c>
      <c r="O64" s="2">
        <v>0</v>
      </c>
    </row>
    <row r="65" spans="2:15" x14ac:dyDescent="0.2">
      <c r="B65" s="1" t="s">
        <v>54</v>
      </c>
      <c r="O65" s="2">
        <v>0.38400000000000001</v>
      </c>
    </row>
    <row r="66" spans="2:15" x14ac:dyDescent="0.2">
      <c r="B66" s="1" t="s">
        <v>43</v>
      </c>
      <c r="O66" s="2">
        <v>-25.760999999999999</v>
      </c>
    </row>
    <row r="67" spans="2:15" x14ac:dyDescent="0.2">
      <c r="B67" s="1" t="s">
        <v>54</v>
      </c>
      <c r="O67" s="2">
        <v>13.32</v>
      </c>
    </row>
    <row r="68" spans="2:15" x14ac:dyDescent="0.2">
      <c r="B68" s="1" t="s">
        <v>51</v>
      </c>
      <c r="O68" s="2">
        <v>-17.417000000000002</v>
      </c>
    </row>
    <row r="69" spans="2:15" x14ac:dyDescent="0.2">
      <c r="B69" s="1" t="s">
        <v>64</v>
      </c>
      <c r="O69" s="2">
        <v>-4.4870000000000001</v>
      </c>
    </row>
    <row r="70" spans="2:15" x14ac:dyDescent="0.2">
      <c r="B70" s="1" t="s">
        <v>16</v>
      </c>
      <c r="O70" s="2">
        <v>2.1480000000000001</v>
      </c>
    </row>
    <row r="71" spans="2:15" x14ac:dyDescent="0.2">
      <c r="B71" s="1" t="s">
        <v>52</v>
      </c>
      <c r="O71" s="2">
        <v>0.26500000000000001</v>
      </c>
    </row>
    <row r="72" spans="2:15" x14ac:dyDescent="0.2">
      <c r="B72" s="1" t="s">
        <v>66</v>
      </c>
      <c r="O72" s="2">
        <f>+SUM(O66:O71)</f>
        <v>-31.931999999999995</v>
      </c>
    </row>
    <row r="73" spans="2:15" x14ac:dyDescent="0.2">
      <c r="B73" s="1" t="s">
        <v>67</v>
      </c>
      <c r="O73" s="2">
        <f>+O72+SUM(O58:O65)</f>
        <v>22.296000000000006</v>
      </c>
    </row>
    <row r="75" spans="2:15" x14ac:dyDescent="0.2">
      <c r="B75" s="1" t="s">
        <v>68</v>
      </c>
      <c r="O75" s="2">
        <v>-12.798</v>
      </c>
    </row>
    <row r="76" spans="2:15" x14ac:dyDescent="0.2">
      <c r="B76" s="1" t="s">
        <v>69</v>
      </c>
      <c r="O76" s="2">
        <v>0</v>
      </c>
    </row>
    <row r="77" spans="2:15" x14ac:dyDescent="0.2">
      <c r="B77" s="1" t="s">
        <v>70</v>
      </c>
      <c r="O77" s="2">
        <v>6.0000000000000001E-3</v>
      </c>
    </row>
    <row r="78" spans="2:15" x14ac:dyDescent="0.2">
      <c r="B78" s="1" t="s">
        <v>71</v>
      </c>
      <c r="O78" s="2">
        <f>+SUM(O75:O77)</f>
        <v>-12.792</v>
      </c>
    </row>
    <row r="80" spans="2:15" x14ac:dyDescent="0.2">
      <c r="B80" s="1" t="s">
        <v>72</v>
      </c>
      <c r="O80" s="2">
        <v>-6.86</v>
      </c>
    </row>
    <row r="81" spans="2:15" x14ac:dyDescent="0.2">
      <c r="B81" s="1" t="s">
        <v>73</v>
      </c>
      <c r="O81" s="2">
        <v>-3.214</v>
      </c>
    </row>
    <row r="82" spans="2:15" x14ac:dyDescent="0.2">
      <c r="B82" s="1" t="s">
        <v>74</v>
      </c>
      <c r="O82" s="2">
        <f>+SUM(O80:O81)</f>
        <v>-10.074</v>
      </c>
    </row>
    <row r="83" spans="2:15" x14ac:dyDescent="0.2">
      <c r="B83" s="1" t="s">
        <v>75</v>
      </c>
      <c r="O83" s="2">
        <v>-0.14099999999999999</v>
      </c>
    </row>
    <row r="84" spans="2:15" x14ac:dyDescent="0.2">
      <c r="B84" s="1" t="s">
        <v>76</v>
      </c>
      <c r="O84" s="2">
        <f>+O73+O78+O82+O83</f>
        <v>-0.71099999999999319</v>
      </c>
    </row>
    <row r="86" spans="2:15" x14ac:dyDescent="0.2">
      <c r="B86" s="1" t="s">
        <v>77</v>
      </c>
    </row>
    <row r="87" spans="2:15" x14ac:dyDescent="0.2">
      <c r="B87" s="1" t="s">
        <v>78</v>
      </c>
      <c r="O87" s="2">
        <f>+O73-O61+O75</f>
        <v>0.1010000000000062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Hesselberth</dc:creator>
  <cp:lastModifiedBy>Dennis Hesselberth</cp:lastModifiedBy>
  <dcterms:created xsi:type="dcterms:W3CDTF">2024-06-15T19:09:45Z</dcterms:created>
  <dcterms:modified xsi:type="dcterms:W3CDTF">2024-06-15T22:51:42Z</dcterms:modified>
</cp:coreProperties>
</file>