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Semiconductors\"/>
    </mc:Choice>
  </mc:AlternateContent>
  <xr:revisionPtr revIDLastSave="0" documentId="13_ncr:1_{5FFD43E5-1198-4B71-B56F-03B88D674954}" xr6:coauthVersionLast="47" xr6:coauthVersionMax="47" xr10:uidLastSave="{00000000-0000-0000-0000-000000000000}"/>
  <bookViews>
    <workbookView xWindow="60" yWindow="60" windowWidth="13995" windowHeight="15375" activeTab="1" xr2:uid="{D5BB0E5E-4189-4744-8439-F0B130AE65E8}"/>
  </bookViews>
  <sheets>
    <sheet name="Main" sheetId="2" r:id="rId1"/>
    <sheet name="Model" sheetId="1" r:id="rId2"/>
    <sheet name="Segm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1" i="1" l="1"/>
  <c r="L30" i="1"/>
  <c r="J4" i="2"/>
  <c r="L93" i="1"/>
  <c r="L90" i="1"/>
  <c r="L89" i="1"/>
  <c r="L86" i="1"/>
  <c r="L79" i="1"/>
  <c r="L78" i="1"/>
  <c r="L80" i="1" s="1"/>
  <c r="L75" i="1"/>
  <c r="L76" i="1" s="1"/>
  <c r="L48" i="1"/>
  <c r="L47" i="1"/>
  <c r="L45" i="1"/>
  <c r="L37" i="1"/>
  <c r="L41" i="1"/>
  <c r="L35" i="1"/>
  <c r="L31" i="1"/>
  <c r="L11" i="1"/>
  <c r="L6" i="1"/>
  <c r="J31" i="1"/>
  <c r="I31" i="1"/>
  <c r="H31" i="1"/>
  <c r="G31" i="1"/>
  <c r="F31" i="1"/>
  <c r="E31" i="1"/>
  <c r="D31" i="1"/>
  <c r="J30" i="1"/>
  <c r="I30" i="1"/>
  <c r="H30" i="1"/>
  <c r="G30" i="1"/>
  <c r="F30" i="1"/>
  <c r="E30" i="1"/>
  <c r="D30" i="1"/>
  <c r="K31" i="1"/>
  <c r="K30" i="1"/>
  <c r="K79" i="1"/>
  <c r="K78" i="1"/>
  <c r="K75" i="1"/>
  <c r="K76" i="1" s="1"/>
  <c r="K46" i="1"/>
  <c r="K48" i="1"/>
  <c r="K47" i="1"/>
  <c r="K45" i="1"/>
  <c r="K37" i="1"/>
  <c r="K41" i="1"/>
  <c r="K35" i="1"/>
  <c r="T11" i="1"/>
  <c r="T6" i="1"/>
  <c r="T8" i="1" s="1"/>
  <c r="K11" i="1"/>
  <c r="K6" i="1"/>
  <c r="K22" i="1" s="1"/>
  <c r="H79" i="1"/>
  <c r="H80" i="1" s="1"/>
  <c r="H75" i="1"/>
  <c r="H76" i="1" s="1"/>
  <c r="G79" i="1"/>
  <c r="G80" i="1" s="1"/>
  <c r="G75" i="1"/>
  <c r="G76" i="1" s="1"/>
  <c r="G93" i="1" s="1"/>
  <c r="F79" i="1"/>
  <c r="F80" i="1" s="1"/>
  <c r="F75" i="1"/>
  <c r="F76" i="1" s="1"/>
  <c r="E79" i="1"/>
  <c r="E80" i="1" s="1"/>
  <c r="E75" i="1"/>
  <c r="E76" i="1" s="1"/>
  <c r="E93" i="1" s="1"/>
  <c r="D79" i="1"/>
  <c r="D80" i="1" s="1"/>
  <c r="D75" i="1"/>
  <c r="D76" i="1" s="1"/>
  <c r="D93" i="1" s="1"/>
  <c r="C79" i="1"/>
  <c r="C80" i="1" s="1"/>
  <c r="C63" i="1"/>
  <c r="C75" i="1"/>
  <c r="C48" i="1"/>
  <c r="C47" i="1"/>
  <c r="C45" i="1"/>
  <c r="C41" i="1"/>
  <c r="C37" i="1"/>
  <c r="C35" i="1"/>
  <c r="D48" i="1"/>
  <c r="D47" i="1"/>
  <c r="D45" i="1"/>
  <c r="D41" i="1"/>
  <c r="D37" i="1"/>
  <c r="D35" i="1"/>
  <c r="E48" i="1"/>
  <c r="E47" i="1"/>
  <c r="E45" i="1"/>
  <c r="E41" i="1"/>
  <c r="E37" i="1"/>
  <c r="E35" i="1"/>
  <c r="F48" i="1"/>
  <c r="F47" i="1"/>
  <c r="F45" i="1"/>
  <c r="F41" i="1"/>
  <c r="F37" i="1"/>
  <c r="F35" i="1"/>
  <c r="G48" i="1"/>
  <c r="G47" i="1"/>
  <c r="G45" i="1"/>
  <c r="G41" i="1"/>
  <c r="G37" i="1"/>
  <c r="G35" i="1"/>
  <c r="H48" i="1"/>
  <c r="H47" i="1"/>
  <c r="H45" i="1"/>
  <c r="H37" i="1"/>
  <c r="H41" i="1"/>
  <c r="H35" i="1"/>
  <c r="Q11" i="1"/>
  <c r="Q6" i="1"/>
  <c r="R11" i="1"/>
  <c r="R6" i="1"/>
  <c r="S11" i="1"/>
  <c r="S6" i="1"/>
  <c r="C11" i="1"/>
  <c r="C6" i="1"/>
  <c r="C8" i="1" s="1"/>
  <c r="D11" i="1"/>
  <c r="D6" i="1"/>
  <c r="D22" i="1" s="1"/>
  <c r="G11" i="1"/>
  <c r="G6" i="1"/>
  <c r="G8" i="1" s="1"/>
  <c r="H11" i="1"/>
  <c r="H6" i="1"/>
  <c r="H8" i="1" s="1"/>
  <c r="I79" i="1"/>
  <c r="I78" i="1"/>
  <c r="I48" i="1"/>
  <c r="I47" i="1"/>
  <c r="I45" i="1"/>
  <c r="I37" i="1"/>
  <c r="I41" i="1"/>
  <c r="I35" i="1"/>
  <c r="I75" i="1"/>
  <c r="I76" i="1" s="1"/>
  <c r="J79" i="1"/>
  <c r="J78" i="1"/>
  <c r="J75" i="1"/>
  <c r="J76" i="1" s="1"/>
  <c r="J45" i="1"/>
  <c r="J48" i="1"/>
  <c r="J47" i="1"/>
  <c r="J37" i="1"/>
  <c r="J41" i="1"/>
  <c r="J35" i="1"/>
  <c r="E11" i="1"/>
  <c r="E6" i="1"/>
  <c r="E29" i="1" s="1"/>
  <c r="I11" i="1"/>
  <c r="I6" i="1"/>
  <c r="I22" i="1" s="1"/>
  <c r="F11" i="1"/>
  <c r="F6" i="1"/>
  <c r="F8" i="1" s="1"/>
  <c r="J11" i="1"/>
  <c r="J6" i="1"/>
  <c r="J8" i="1" s="1"/>
  <c r="J6" i="2"/>
  <c r="J5" i="2"/>
  <c r="J8" i="2" s="1"/>
  <c r="J9" i="2" s="1"/>
  <c r="C16" i="3"/>
  <c r="B16" i="3"/>
  <c r="R3" i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L52" i="1" l="1"/>
  <c r="L44" i="1"/>
  <c r="L29" i="1"/>
  <c r="L22" i="1"/>
  <c r="L23" i="1"/>
  <c r="L8" i="1"/>
  <c r="L28" i="1"/>
  <c r="K28" i="1"/>
  <c r="K23" i="1"/>
  <c r="C23" i="1"/>
  <c r="F22" i="1"/>
  <c r="F23" i="1"/>
  <c r="G23" i="1"/>
  <c r="H23" i="1"/>
  <c r="I23" i="1"/>
  <c r="C22" i="1"/>
  <c r="J22" i="1"/>
  <c r="D23" i="1"/>
  <c r="G22" i="1"/>
  <c r="H22" i="1"/>
  <c r="E23" i="1"/>
  <c r="E22" i="1"/>
  <c r="J23" i="1"/>
  <c r="G29" i="1"/>
  <c r="K93" i="1"/>
  <c r="H29" i="1"/>
  <c r="R28" i="1"/>
  <c r="K29" i="1"/>
  <c r="I29" i="1"/>
  <c r="J29" i="1"/>
  <c r="D29" i="1"/>
  <c r="F29" i="1"/>
  <c r="K90" i="1"/>
  <c r="J80" i="1"/>
  <c r="J89" i="1" s="1"/>
  <c r="D89" i="1"/>
  <c r="F89" i="1"/>
  <c r="K80" i="1"/>
  <c r="K89" i="1" s="1"/>
  <c r="C52" i="1"/>
  <c r="T28" i="1"/>
  <c r="I44" i="1"/>
  <c r="H44" i="1"/>
  <c r="D44" i="1"/>
  <c r="T21" i="1"/>
  <c r="T12" i="1"/>
  <c r="I28" i="1"/>
  <c r="C76" i="1"/>
  <c r="C44" i="1"/>
  <c r="E89" i="1"/>
  <c r="K52" i="1"/>
  <c r="K44" i="1"/>
  <c r="K8" i="1"/>
  <c r="H93" i="1"/>
  <c r="H90" i="1"/>
  <c r="H89" i="1"/>
  <c r="G89" i="1"/>
  <c r="G90" i="1"/>
  <c r="F93" i="1"/>
  <c r="F90" i="1"/>
  <c r="E90" i="1"/>
  <c r="D90" i="1"/>
  <c r="D52" i="1"/>
  <c r="E52" i="1"/>
  <c r="E44" i="1"/>
  <c r="F52" i="1"/>
  <c r="F44" i="1"/>
  <c r="G52" i="1"/>
  <c r="G44" i="1"/>
  <c r="H52" i="1"/>
  <c r="Q8" i="1"/>
  <c r="R8" i="1"/>
  <c r="S28" i="1"/>
  <c r="J93" i="1"/>
  <c r="H28" i="1"/>
  <c r="S8" i="1"/>
  <c r="G28" i="1"/>
  <c r="C12" i="1"/>
  <c r="C21" i="1"/>
  <c r="D8" i="1"/>
  <c r="I80" i="1"/>
  <c r="I89" i="1" s="1"/>
  <c r="J90" i="1"/>
  <c r="G12" i="1"/>
  <c r="G21" i="1"/>
  <c r="H21" i="1"/>
  <c r="H12" i="1"/>
  <c r="I52" i="1"/>
  <c r="I93" i="1"/>
  <c r="I90" i="1"/>
  <c r="J52" i="1"/>
  <c r="J44" i="1"/>
  <c r="J12" i="1"/>
  <c r="J15" i="1" s="1"/>
  <c r="J17" i="1" s="1"/>
  <c r="J59" i="1" s="1"/>
  <c r="J21" i="1"/>
  <c r="J28" i="1"/>
  <c r="E8" i="1"/>
  <c r="I8" i="1"/>
  <c r="I12" i="1" s="1"/>
  <c r="I24" i="1" s="1"/>
  <c r="F12" i="1"/>
  <c r="F21" i="1"/>
  <c r="L53" i="1" l="1"/>
  <c r="L54" i="1" s="1"/>
  <c r="L21" i="1"/>
  <c r="L12" i="1"/>
  <c r="H53" i="1"/>
  <c r="H54" i="1" s="1"/>
  <c r="K91" i="1"/>
  <c r="C53" i="1"/>
  <c r="C54" i="1" s="1"/>
  <c r="I53" i="1"/>
  <c r="I54" i="1" s="1"/>
  <c r="D53" i="1"/>
  <c r="D54" i="1" s="1"/>
  <c r="G91" i="1"/>
  <c r="J91" i="1"/>
  <c r="T24" i="1"/>
  <c r="T15" i="1"/>
  <c r="H91" i="1"/>
  <c r="I91" i="1"/>
  <c r="C93" i="1"/>
  <c r="C89" i="1"/>
  <c r="C90" i="1"/>
  <c r="F91" i="1" s="1"/>
  <c r="K53" i="1"/>
  <c r="K54" i="1" s="1"/>
  <c r="K21" i="1"/>
  <c r="K12" i="1"/>
  <c r="E53" i="1"/>
  <c r="E54" i="1" s="1"/>
  <c r="F53" i="1"/>
  <c r="F54" i="1" s="1"/>
  <c r="G53" i="1"/>
  <c r="G54" i="1" s="1"/>
  <c r="Q12" i="1"/>
  <c r="Q21" i="1"/>
  <c r="R21" i="1"/>
  <c r="R12" i="1"/>
  <c r="S12" i="1"/>
  <c r="S24" i="1" s="1"/>
  <c r="S21" i="1"/>
  <c r="C24" i="1"/>
  <c r="C15" i="1"/>
  <c r="D12" i="1"/>
  <c r="D21" i="1"/>
  <c r="G24" i="1"/>
  <c r="G15" i="1"/>
  <c r="H24" i="1"/>
  <c r="H15" i="1"/>
  <c r="J53" i="1"/>
  <c r="J54" i="1" s="1"/>
  <c r="J26" i="1"/>
  <c r="J24" i="1"/>
  <c r="E12" i="1"/>
  <c r="E21" i="1"/>
  <c r="J18" i="1"/>
  <c r="J25" i="1"/>
  <c r="I15" i="1"/>
  <c r="I21" i="1"/>
  <c r="F24" i="1"/>
  <c r="F15" i="1"/>
  <c r="F17" i="1" s="1"/>
  <c r="L24" i="1" l="1"/>
  <c r="L15" i="1"/>
  <c r="F59" i="1"/>
  <c r="T17" i="1"/>
  <c r="T26" i="1"/>
  <c r="K24" i="1"/>
  <c r="K15" i="1"/>
  <c r="Q24" i="1"/>
  <c r="Q15" i="1"/>
  <c r="R24" i="1"/>
  <c r="R15" i="1"/>
  <c r="S15" i="1"/>
  <c r="C26" i="1"/>
  <c r="C17" i="1"/>
  <c r="D24" i="1"/>
  <c r="D15" i="1"/>
  <c r="G26" i="1"/>
  <c r="G17" i="1"/>
  <c r="H26" i="1"/>
  <c r="H17" i="1"/>
  <c r="I26" i="1"/>
  <c r="I17" i="1"/>
  <c r="E24" i="1"/>
  <c r="E15" i="1"/>
  <c r="E17" i="1" s="1"/>
  <c r="F26" i="1"/>
  <c r="L26" i="1" l="1"/>
  <c r="L17" i="1"/>
  <c r="L59" i="1" s="1"/>
  <c r="H59" i="1"/>
  <c r="G59" i="1"/>
  <c r="J56" i="1"/>
  <c r="J57" i="1" s="1"/>
  <c r="C59" i="1"/>
  <c r="E59" i="1"/>
  <c r="H56" i="1"/>
  <c r="H57" i="1" s="1"/>
  <c r="I56" i="1"/>
  <c r="I57" i="1" s="1"/>
  <c r="T25" i="1"/>
  <c r="T18" i="1"/>
  <c r="K26" i="1"/>
  <c r="K17" i="1"/>
  <c r="K59" i="1" s="1"/>
  <c r="Q26" i="1"/>
  <c r="Q17" i="1"/>
  <c r="R26" i="1"/>
  <c r="R17" i="1"/>
  <c r="S26" i="1"/>
  <c r="S17" i="1"/>
  <c r="C25" i="1"/>
  <c r="C18" i="1"/>
  <c r="D26" i="1"/>
  <c r="D17" i="1"/>
  <c r="F56" i="1" s="1"/>
  <c r="F57" i="1" s="1"/>
  <c r="I18" i="1"/>
  <c r="I59" i="1"/>
  <c r="G25" i="1"/>
  <c r="G18" i="1"/>
  <c r="H25" i="1"/>
  <c r="H18" i="1"/>
  <c r="E26" i="1"/>
  <c r="I25" i="1"/>
  <c r="F25" i="1"/>
  <c r="F18" i="1"/>
  <c r="K56" i="1" l="1"/>
  <c r="K57" i="1" s="1"/>
  <c r="L56" i="1"/>
  <c r="L57" i="1" s="1"/>
  <c r="L25" i="1"/>
  <c r="L18" i="1"/>
  <c r="D59" i="1"/>
  <c r="G56" i="1"/>
  <c r="G57" i="1" s="1"/>
  <c r="K25" i="1"/>
  <c r="K18" i="1"/>
  <c r="Q25" i="1"/>
  <c r="Q18" i="1"/>
  <c r="R25" i="1"/>
  <c r="R18" i="1"/>
  <c r="S25" i="1"/>
  <c r="S18" i="1"/>
  <c r="D25" i="1"/>
  <c r="D18" i="1"/>
  <c r="E25" i="1"/>
  <c r="E18" i="1"/>
</calcChain>
</file>

<file path=xl/sharedStrings.xml><?xml version="1.0" encoding="utf-8"?>
<sst xmlns="http://schemas.openxmlformats.org/spreadsheetml/2006/main" count="135" uniqueCount="107">
  <si>
    <t>Arm Holdings</t>
  </si>
  <si>
    <t>(ARM)</t>
  </si>
  <si>
    <t>(in millions)</t>
  </si>
  <si>
    <t>Total revenue</t>
  </si>
  <si>
    <t>Q422</t>
  </si>
  <si>
    <t>Q123</t>
  </si>
  <si>
    <t>Q223</t>
  </si>
  <si>
    <t>Q323</t>
  </si>
  <si>
    <t>Q423</t>
  </si>
  <si>
    <t>Q124</t>
  </si>
  <si>
    <t>Q224</t>
  </si>
  <si>
    <t>Client</t>
  </si>
  <si>
    <t>Mobile applications</t>
  </si>
  <si>
    <t>Other mobile</t>
  </si>
  <si>
    <t>Infrastructure</t>
  </si>
  <si>
    <t>Cloud compute</t>
  </si>
  <si>
    <t>Network equipment</t>
  </si>
  <si>
    <t>Other infrastructure</t>
  </si>
  <si>
    <t>Auto</t>
  </si>
  <si>
    <t>Automotive</t>
  </si>
  <si>
    <t>IoT</t>
  </si>
  <si>
    <t>IoT &amp; embedded</t>
  </si>
  <si>
    <t>Total opportunity</t>
  </si>
  <si>
    <t>(in billions)</t>
  </si>
  <si>
    <t>Consumer electronics</t>
  </si>
  <si>
    <t>Market value</t>
  </si>
  <si>
    <t>Market share</t>
  </si>
  <si>
    <t>Headquaters</t>
  </si>
  <si>
    <t>Cambridge, England</t>
  </si>
  <si>
    <t>Price</t>
  </si>
  <si>
    <t>Shares</t>
  </si>
  <si>
    <t>MC</t>
  </si>
  <si>
    <t>Cash</t>
  </si>
  <si>
    <t>Debt</t>
  </si>
  <si>
    <t>EV</t>
  </si>
  <si>
    <t>est. 1978</t>
  </si>
  <si>
    <t>Acorn Computers Ltd.</t>
  </si>
  <si>
    <t>External customers</t>
  </si>
  <si>
    <t>Related parties</t>
  </si>
  <si>
    <t>COGS</t>
  </si>
  <si>
    <t>Gross profit</t>
  </si>
  <si>
    <t>R&amp;D</t>
  </si>
  <si>
    <t>SG&amp;A</t>
  </si>
  <si>
    <t>Operating expense</t>
  </si>
  <si>
    <t>Operating income</t>
  </si>
  <si>
    <t>Interest income</t>
  </si>
  <si>
    <t>Other</t>
  </si>
  <si>
    <t>Pretax</t>
  </si>
  <si>
    <t>Taxes</t>
  </si>
  <si>
    <t>Net income</t>
  </si>
  <si>
    <t>EPS</t>
  </si>
  <si>
    <t>Gross margin</t>
  </si>
  <si>
    <t>Operating margin</t>
  </si>
  <si>
    <t>Net margin</t>
  </si>
  <si>
    <t>Tax rate</t>
  </si>
  <si>
    <t>Revenue y/y</t>
  </si>
  <si>
    <t>Net cash</t>
  </si>
  <si>
    <t>A/R</t>
  </si>
  <si>
    <t>Prepaid</t>
  </si>
  <si>
    <t>PP&amp;E</t>
  </si>
  <si>
    <t>Lease</t>
  </si>
  <si>
    <t>Goodwill</t>
  </si>
  <si>
    <t>D/T</t>
  </si>
  <si>
    <t>Assets</t>
  </si>
  <si>
    <t>Liabilities</t>
  </si>
  <si>
    <t>S/E</t>
  </si>
  <si>
    <t>L+S/E</t>
  </si>
  <si>
    <t>SBC</t>
  </si>
  <si>
    <t>Model NI</t>
  </si>
  <si>
    <t>Reported NI</t>
  </si>
  <si>
    <t>D&amp;A</t>
  </si>
  <si>
    <t>Investments</t>
  </si>
  <si>
    <t>Contract assets</t>
  </si>
  <si>
    <t>Contract liabilities</t>
  </si>
  <si>
    <t>Accrued SBC</t>
  </si>
  <si>
    <t>CFFO</t>
  </si>
  <si>
    <t>CapEx</t>
  </si>
  <si>
    <t>CFFI</t>
  </si>
  <si>
    <t>FCF</t>
  </si>
  <si>
    <t>Working capital</t>
  </si>
  <si>
    <t>FX</t>
  </si>
  <si>
    <t>CIC</t>
  </si>
  <si>
    <t>Investements</t>
  </si>
  <si>
    <t>CFFF</t>
  </si>
  <si>
    <t>CFFO+CapEx-SBC</t>
  </si>
  <si>
    <t>Q324</t>
  </si>
  <si>
    <t>Q125</t>
  </si>
  <si>
    <t>Market segments</t>
  </si>
  <si>
    <t>IoT solution subsystem</t>
  </si>
  <si>
    <t>Infrastructure - Neo compute subsystem</t>
  </si>
  <si>
    <t>Automotive enhanced system</t>
  </si>
  <si>
    <t>Mobile - Total compute subsystem</t>
  </si>
  <si>
    <t>Q424</t>
  </si>
  <si>
    <t>TTM</t>
  </si>
  <si>
    <t>Q225</t>
  </si>
  <si>
    <t>Q325</t>
  </si>
  <si>
    <t>Q425</t>
  </si>
  <si>
    <t>Revenue q/q</t>
  </si>
  <si>
    <t>R&amp;D q/q</t>
  </si>
  <si>
    <t>SG&amp;A q/q</t>
  </si>
  <si>
    <t>R&amp;D margin</t>
  </si>
  <si>
    <t>SG&amp;A margin</t>
  </si>
  <si>
    <t>DT</t>
  </si>
  <si>
    <t>Cash flow TTM</t>
  </si>
  <si>
    <t>ROIC</t>
  </si>
  <si>
    <t>Intangible obligations</t>
  </si>
  <si>
    <t>Tax on vested 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</si>
</sst>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x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2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left"/>
    </xf>
    <xf numFmtId="9" fontId="0" fillId="0" borderId="0" xfId="0" applyNumberFormat="1"/>
    <xf numFmtId="9" fontId="1" fillId="0" borderId="0" xfId="0" applyNumberFormat="1" applyFont="1"/>
    <xf numFmtId="3" fontId="0" fillId="0" borderId="0" xfId="0" applyNumberFormat="1"/>
    <xf numFmtId="3" fontId="1" fillId="0" borderId="0" xfId="0" applyNumberFormat="1" applyFont="1"/>
    <xf numFmtId="3" fontId="2" fillId="0" borderId="0" xfId="0" applyNumberFormat="1" applyFont="1"/>
    <xf numFmtId="4" fontId="0" fillId="0" borderId="0" xfId="0" applyNumberFormat="1"/>
    <xf numFmtId="14" fontId="0" fillId="0" borderId="0" xfId="0" applyNumberFormat="1"/>
    <xf numFmtId="164" fontId="0" fillId="0" borderId="0" xfId="0" applyNumberFormat="1"/>
    <xf numFmtId="3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0</xdr:row>
      <xdr:rowOff>295275</xdr:rowOff>
    </xdr:from>
    <xdr:to>
      <xdr:col>12</xdr:col>
      <xdr:colOff>28575</xdr:colOff>
      <xdr:row>94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C5F32F3-FD3D-90D1-F376-0A70D090F2A9}"/>
            </a:ext>
          </a:extLst>
        </xdr:cNvPr>
        <xdr:cNvCxnSpPr/>
      </xdr:nvCxnSpPr>
      <xdr:spPr>
        <a:xfrm>
          <a:off x="9277350" y="295275"/>
          <a:ext cx="0" cy="14554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</xdr:colOff>
      <xdr:row>0</xdr:row>
      <xdr:rowOff>57150</xdr:rowOff>
    </xdr:from>
    <xdr:to>
      <xdr:col>20</xdr:col>
      <xdr:colOff>19050</xdr:colOff>
      <xdr:row>92</xdr:row>
      <xdr:rowOff>85725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43D7F129-70B4-40E0-BFCE-BEBFD7E8637B}"/>
            </a:ext>
          </a:extLst>
        </xdr:cNvPr>
        <xdr:cNvCxnSpPr/>
      </xdr:nvCxnSpPr>
      <xdr:spPr>
        <a:xfrm>
          <a:off x="13563600" y="57150"/>
          <a:ext cx="0" cy="13744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44CF0-AFAD-4109-8B08-41351792D40D}">
  <dimension ref="A1:K15"/>
  <sheetViews>
    <sheetView topLeftCell="B1" workbookViewId="0">
      <selection activeCell="J9" sqref="J9"/>
    </sheetView>
  </sheetViews>
  <sheetFormatPr defaultRowHeight="12.75" x14ac:dyDescent="0.2"/>
  <cols>
    <col min="1" max="1" width="34.42578125" bestFit="1" customWidth="1"/>
  </cols>
  <sheetData>
    <row r="1" spans="1:11" ht="34.5" x14ac:dyDescent="0.45">
      <c r="A1" s="1" t="s">
        <v>0</v>
      </c>
    </row>
    <row r="2" spans="1:11" x14ac:dyDescent="0.2">
      <c r="A2" t="s">
        <v>1</v>
      </c>
    </row>
    <row r="3" spans="1:11" x14ac:dyDescent="0.2">
      <c r="A3" t="s">
        <v>2</v>
      </c>
      <c r="B3" s="2" t="s">
        <v>87</v>
      </c>
      <c r="I3" t="s">
        <v>29</v>
      </c>
      <c r="J3" s="8">
        <v>120</v>
      </c>
    </row>
    <row r="4" spans="1:11" x14ac:dyDescent="0.2">
      <c r="B4" t="s">
        <v>91</v>
      </c>
      <c r="I4" t="s">
        <v>30</v>
      </c>
      <c r="J4" s="8">
        <f>+Model!L19</f>
        <v>1060</v>
      </c>
      <c r="K4" s="3" t="s">
        <v>86</v>
      </c>
    </row>
    <row r="5" spans="1:11" x14ac:dyDescent="0.2">
      <c r="B5" t="s">
        <v>88</v>
      </c>
      <c r="I5" t="s">
        <v>31</v>
      </c>
      <c r="J5" s="8">
        <f>+J3*J4</f>
        <v>127200</v>
      </c>
      <c r="K5" s="3"/>
    </row>
    <row r="6" spans="1:11" x14ac:dyDescent="0.2">
      <c r="B6" t="s">
        <v>89</v>
      </c>
      <c r="I6" t="s">
        <v>32</v>
      </c>
      <c r="J6" s="8">
        <f>1551+850+748</f>
        <v>3149</v>
      </c>
      <c r="K6" s="3" t="s">
        <v>86</v>
      </c>
    </row>
    <row r="7" spans="1:11" x14ac:dyDescent="0.2">
      <c r="B7" t="s">
        <v>90</v>
      </c>
      <c r="I7" t="s">
        <v>33</v>
      </c>
      <c r="J7" s="8">
        <v>0</v>
      </c>
      <c r="K7" s="3" t="s">
        <v>86</v>
      </c>
    </row>
    <row r="8" spans="1:11" x14ac:dyDescent="0.2">
      <c r="I8" t="s">
        <v>34</v>
      </c>
      <c r="J8" s="8">
        <f>+J5-J6+J7</f>
        <v>124051</v>
      </c>
    </row>
    <row r="9" spans="1:11" x14ac:dyDescent="0.2">
      <c r="J9" s="13">
        <f>+J8/760</f>
        <v>163.22499999999999</v>
      </c>
    </row>
    <row r="11" spans="1:11" x14ac:dyDescent="0.2">
      <c r="I11" t="s">
        <v>36</v>
      </c>
    </row>
    <row r="12" spans="1:11" x14ac:dyDescent="0.2">
      <c r="I12" t="s">
        <v>35</v>
      </c>
    </row>
    <row r="14" spans="1:11" x14ac:dyDescent="0.2">
      <c r="I14" s="2" t="s">
        <v>27</v>
      </c>
    </row>
    <row r="15" spans="1:11" x14ac:dyDescent="0.2">
      <c r="I15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19AAF-27F6-466F-A8E2-BB8C21733C17}">
  <dimension ref="B1:AD93"/>
  <sheetViews>
    <sheetView tabSelected="1" workbookViewId="0">
      <pane xSplit="2" ySplit="3" topLeftCell="I61" activePane="bottomRight" state="frozen"/>
      <selection pane="topRight" activeCell="B1" sqref="B1"/>
      <selection pane="bottomLeft" activeCell="A4" sqref="A4"/>
      <selection pane="bottomRight" activeCell="N79" sqref="N79"/>
    </sheetView>
  </sheetViews>
  <sheetFormatPr defaultRowHeight="12.75" x14ac:dyDescent="0.2"/>
  <cols>
    <col min="1" max="1" width="2.5703125" style="8" customWidth="1"/>
    <col min="2" max="2" width="34.42578125" style="8" bestFit="1" customWidth="1"/>
    <col min="3" max="3" width="11" style="8" customWidth="1"/>
    <col min="4" max="4" width="10.28515625" style="8" customWidth="1"/>
    <col min="5" max="5" width="10.42578125" style="8" customWidth="1"/>
    <col min="6" max="11" width="10.140625" style="8" bestFit="1" customWidth="1"/>
    <col min="12" max="16" width="9.140625" style="8"/>
    <col min="17" max="19" width="10.140625" style="8" bestFit="1" customWidth="1"/>
    <col min="20" max="16384" width="9.140625" style="8"/>
  </cols>
  <sheetData>
    <row r="1" spans="2:30" ht="34.5" x14ac:dyDescent="0.45">
      <c r="B1" s="10" t="s">
        <v>0</v>
      </c>
      <c r="C1" s="10"/>
      <c r="D1" s="10"/>
      <c r="E1" s="10"/>
    </row>
    <row r="2" spans="2:30" s="12" customFormat="1" x14ac:dyDescent="0.2">
      <c r="B2" s="8" t="s">
        <v>1</v>
      </c>
      <c r="C2" s="12">
        <v>44651</v>
      </c>
      <c r="D2" s="12">
        <v>44742</v>
      </c>
      <c r="E2" s="12">
        <v>45199</v>
      </c>
      <c r="F2" s="12">
        <v>44926</v>
      </c>
      <c r="G2" s="12">
        <v>45016</v>
      </c>
      <c r="H2" s="12">
        <v>45107</v>
      </c>
      <c r="I2" s="12">
        <v>45199</v>
      </c>
      <c r="J2" s="12">
        <v>45291</v>
      </c>
      <c r="K2" s="12">
        <v>45382</v>
      </c>
      <c r="L2" s="12">
        <v>45473</v>
      </c>
    </row>
    <row r="3" spans="2:30" s="3" customFormat="1" x14ac:dyDescent="0.2">
      <c r="B3" t="s">
        <v>2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85</v>
      </c>
      <c r="K3" s="3" t="s">
        <v>92</v>
      </c>
      <c r="L3" s="3" t="s">
        <v>86</v>
      </c>
      <c r="M3" s="3" t="s">
        <v>94</v>
      </c>
      <c r="N3" s="3" t="s">
        <v>95</v>
      </c>
      <c r="O3" s="3" t="s">
        <v>96</v>
      </c>
      <c r="Q3" s="3">
        <v>2021</v>
      </c>
      <c r="R3" s="3">
        <f>+Q3+1</f>
        <v>2022</v>
      </c>
      <c r="S3" s="3">
        <f t="shared" ref="S3:AD3" si="0">+R3+1</f>
        <v>2023</v>
      </c>
      <c r="T3" s="3">
        <f t="shared" si="0"/>
        <v>2024</v>
      </c>
      <c r="U3" s="3">
        <f t="shared" si="0"/>
        <v>2025</v>
      </c>
      <c r="V3" s="3">
        <f t="shared" si="0"/>
        <v>2026</v>
      </c>
      <c r="W3" s="3">
        <f t="shared" si="0"/>
        <v>2027</v>
      </c>
      <c r="X3" s="3">
        <f t="shared" si="0"/>
        <v>2028</v>
      </c>
      <c r="Y3" s="3">
        <f t="shared" si="0"/>
        <v>2029</v>
      </c>
      <c r="Z3" s="3">
        <f t="shared" si="0"/>
        <v>2030</v>
      </c>
      <c r="AA3" s="3">
        <f t="shared" si="0"/>
        <v>2031</v>
      </c>
      <c r="AB3" s="3">
        <f t="shared" si="0"/>
        <v>2032</v>
      </c>
      <c r="AC3" s="3">
        <f t="shared" si="0"/>
        <v>2033</v>
      </c>
      <c r="AD3" s="3">
        <f t="shared" si="0"/>
        <v>2034</v>
      </c>
    </row>
    <row r="4" spans="2:30" x14ac:dyDescent="0.2">
      <c r="B4" s="8" t="s">
        <v>37</v>
      </c>
      <c r="C4" s="8">
        <v>521</v>
      </c>
      <c r="D4" s="8">
        <v>524</v>
      </c>
      <c r="E4" s="8">
        <v>469</v>
      </c>
      <c r="F4" s="8">
        <v>533</v>
      </c>
      <c r="G4" s="8">
        <v>499</v>
      </c>
      <c r="H4" s="8">
        <v>535</v>
      </c>
      <c r="I4" s="8">
        <v>644</v>
      </c>
      <c r="J4" s="8">
        <v>575</v>
      </c>
      <c r="K4" s="8">
        <v>754</v>
      </c>
      <c r="L4" s="8">
        <v>815</v>
      </c>
      <c r="Q4" s="8">
        <v>1579</v>
      </c>
      <c r="R4" s="8">
        <v>2219</v>
      </c>
      <c r="S4" s="8">
        <v>2025</v>
      </c>
      <c r="T4" s="8">
        <v>2509</v>
      </c>
    </row>
    <row r="5" spans="2:30" x14ac:dyDescent="0.2">
      <c r="B5" s="8" t="s">
        <v>38</v>
      </c>
      <c r="C5" s="8">
        <v>136</v>
      </c>
      <c r="D5" s="8">
        <v>168</v>
      </c>
      <c r="E5" s="8">
        <v>161</v>
      </c>
      <c r="F5" s="8">
        <v>191</v>
      </c>
      <c r="G5" s="8">
        <v>134</v>
      </c>
      <c r="H5" s="8">
        <v>140</v>
      </c>
      <c r="I5" s="8">
        <v>162</v>
      </c>
      <c r="J5" s="8">
        <v>248</v>
      </c>
      <c r="K5" s="8">
        <v>174</v>
      </c>
      <c r="L5" s="8">
        <v>124</v>
      </c>
      <c r="Q5" s="8">
        <v>448</v>
      </c>
      <c r="R5" s="8">
        <v>484</v>
      </c>
      <c r="S5" s="8">
        <v>654</v>
      </c>
      <c r="T5" s="8">
        <v>724</v>
      </c>
    </row>
    <row r="6" spans="2:30" s="9" customFormat="1" x14ac:dyDescent="0.2">
      <c r="B6" s="9" t="s">
        <v>3</v>
      </c>
      <c r="C6" s="9">
        <f t="shared" ref="C6:J6" si="1">+C5+C4</f>
        <v>657</v>
      </c>
      <c r="D6" s="9">
        <f t="shared" si="1"/>
        <v>692</v>
      </c>
      <c r="E6" s="9">
        <f t="shared" si="1"/>
        <v>630</v>
      </c>
      <c r="F6" s="9">
        <f t="shared" si="1"/>
        <v>724</v>
      </c>
      <c r="G6" s="9">
        <f t="shared" si="1"/>
        <v>633</v>
      </c>
      <c r="H6" s="9">
        <f t="shared" si="1"/>
        <v>675</v>
      </c>
      <c r="I6" s="9">
        <f t="shared" si="1"/>
        <v>806</v>
      </c>
      <c r="J6" s="9">
        <f t="shared" si="1"/>
        <v>823</v>
      </c>
      <c r="K6" s="9">
        <f>+K4+K5</f>
        <v>928</v>
      </c>
      <c r="L6" s="9">
        <f>+L4+L5</f>
        <v>939</v>
      </c>
      <c r="Q6" s="9">
        <f>+Q5+Q4</f>
        <v>2027</v>
      </c>
      <c r="R6" s="9">
        <f>+R5+R4</f>
        <v>2703</v>
      </c>
      <c r="S6" s="9">
        <f>+S5+S4</f>
        <v>2679</v>
      </c>
      <c r="T6" s="9">
        <f>+T5+T4</f>
        <v>3233</v>
      </c>
    </row>
    <row r="7" spans="2:30" x14ac:dyDescent="0.2">
      <c r="B7" s="8" t="s">
        <v>39</v>
      </c>
      <c r="C7" s="8">
        <v>37</v>
      </c>
      <c r="D7" s="8">
        <v>25</v>
      </c>
      <c r="E7" s="8">
        <v>25</v>
      </c>
      <c r="F7" s="8">
        <v>29</v>
      </c>
      <c r="G7" s="8">
        <v>27</v>
      </c>
      <c r="H7" s="8">
        <v>31</v>
      </c>
      <c r="I7" s="8">
        <v>46</v>
      </c>
      <c r="J7" s="8">
        <v>36</v>
      </c>
      <c r="K7" s="8">
        <v>41</v>
      </c>
      <c r="L7" s="8">
        <v>33</v>
      </c>
      <c r="Q7" s="8">
        <v>145</v>
      </c>
      <c r="R7" s="8">
        <v>131</v>
      </c>
      <c r="S7" s="8">
        <v>106</v>
      </c>
      <c r="T7" s="8">
        <v>154</v>
      </c>
    </row>
    <row r="8" spans="2:30" s="9" customFormat="1" x14ac:dyDescent="0.2">
      <c r="B8" s="9" t="s">
        <v>40</v>
      </c>
      <c r="C8" s="9">
        <f t="shared" ref="C8:K8" si="2">+C6-C7</f>
        <v>620</v>
      </c>
      <c r="D8" s="9">
        <f t="shared" si="2"/>
        <v>667</v>
      </c>
      <c r="E8" s="9">
        <f t="shared" si="2"/>
        <v>605</v>
      </c>
      <c r="F8" s="9">
        <f t="shared" si="2"/>
        <v>695</v>
      </c>
      <c r="G8" s="9">
        <f t="shared" si="2"/>
        <v>606</v>
      </c>
      <c r="H8" s="9">
        <f t="shared" si="2"/>
        <v>644</v>
      </c>
      <c r="I8" s="9">
        <f t="shared" si="2"/>
        <v>760</v>
      </c>
      <c r="J8" s="9">
        <f t="shared" si="2"/>
        <v>787</v>
      </c>
      <c r="K8" s="9">
        <f t="shared" si="2"/>
        <v>887</v>
      </c>
      <c r="L8" s="9">
        <f t="shared" ref="L8" si="3">+L6-L7</f>
        <v>906</v>
      </c>
      <c r="Q8" s="9">
        <f>+Q6-Q7</f>
        <v>1882</v>
      </c>
      <c r="R8" s="9">
        <f>+R6-R7</f>
        <v>2572</v>
      </c>
      <c r="S8" s="9">
        <f>+S6-S7</f>
        <v>2573</v>
      </c>
      <c r="T8" s="9">
        <f>+T6-T7</f>
        <v>3079</v>
      </c>
    </row>
    <row r="9" spans="2:30" x14ac:dyDescent="0.2">
      <c r="B9" s="8" t="s">
        <v>41</v>
      </c>
      <c r="C9" s="8">
        <v>341</v>
      </c>
      <c r="D9" s="8">
        <v>218</v>
      </c>
      <c r="E9" s="8">
        <v>248</v>
      </c>
      <c r="F9" s="8">
        <v>286</v>
      </c>
      <c r="G9" s="8">
        <v>381</v>
      </c>
      <c r="H9" s="8">
        <v>337</v>
      </c>
      <c r="I9" s="8">
        <v>626</v>
      </c>
      <c r="J9" s="8">
        <v>432</v>
      </c>
      <c r="K9" s="8">
        <v>584</v>
      </c>
      <c r="L9" s="8">
        <v>485</v>
      </c>
      <c r="Q9" s="8">
        <v>814</v>
      </c>
      <c r="R9" s="8">
        <v>995</v>
      </c>
      <c r="S9" s="8">
        <v>1133</v>
      </c>
      <c r="T9" s="8">
        <v>1979</v>
      </c>
    </row>
    <row r="10" spans="2:30" x14ac:dyDescent="0.2">
      <c r="B10" s="8" t="s">
        <v>42</v>
      </c>
      <c r="C10" s="8">
        <v>321</v>
      </c>
      <c r="D10" s="8">
        <v>153</v>
      </c>
      <c r="E10" s="8">
        <v>172</v>
      </c>
      <c r="F10" s="8">
        <v>163</v>
      </c>
      <c r="G10" s="8">
        <v>274</v>
      </c>
      <c r="H10" s="8">
        <v>196</v>
      </c>
      <c r="I10" s="8">
        <v>290</v>
      </c>
      <c r="J10" s="8">
        <v>216</v>
      </c>
      <c r="K10" s="8">
        <v>281</v>
      </c>
      <c r="L10" s="8">
        <v>239</v>
      </c>
      <c r="Q10" s="8">
        <v>826</v>
      </c>
      <c r="R10" s="8">
        <v>897</v>
      </c>
      <c r="S10" s="8">
        <v>762</v>
      </c>
      <c r="T10" s="8">
        <v>983</v>
      </c>
    </row>
    <row r="11" spans="2:30" x14ac:dyDescent="0.2">
      <c r="B11" s="8" t="s">
        <v>43</v>
      </c>
      <c r="C11" s="8">
        <f t="shared" ref="C11:K11" si="4">+SUM(C9:C10)</f>
        <v>662</v>
      </c>
      <c r="D11" s="8">
        <f t="shared" si="4"/>
        <v>371</v>
      </c>
      <c r="E11" s="8">
        <f t="shared" si="4"/>
        <v>420</v>
      </c>
      <c r="F11" s="8">
        <f t="shared" si="4"/>
        <v>449</v>
      </c>
      <c r="G11" s="8">
        <f t="shared" si="4"/>
        <v>655</v>
      </c>
      <c r="H11" s="8">
        <f t="shared" si="4"/>
        <v>533</v>
      </c>
      <c r="I11" s="8">
        <f t="shared" si="4"/>
        <v>916</v>
      </c>
      <c r="J11" s="8">
        <f t="shared" si="4"/>
        <v>648</v>
      </c>
      <c r="K11" s="8">
        <f t="shared" si="4"/>
        <v>865</v>
      </c>
      <c r="L11" s="8">
        <f t="shared" ref="L11" si="5">+SUM(L9:L10)</f>
        <v>724</v>
      </c>
      <c r="Q11" s="8">
        <f>+SUM(Q9:Q10)</f>
        <v>1640</v>
      </c>
      <c r="R11" s="8">
        <f>+SUM(R9:R10)</f>
        <v>1892</v>
      </c>
      <c r="S11" s="8">
        <f>+SUM(S9:S10)</f>
        <v>1895</v>
      </c>
      <c r="T11" s="8">
        <f>+SUM(T9:T10)</f>
        <v>2962</v>
      </c>
    </row>
    <row r="12" spans="2:30" s="9" customFormat="1" x14ac:dyDescent="0.2">
      <c r="B12" s="9" t="s">
        <v>44</v>
      </c>
      <c r="C12" s="9">
        <f t="shared" ref="C12:K12" si="6">+C8-C11</f>
        <v>-42</v>
      </c>
      <c r="D12" s="9">
        <f t="shared" si="6"/>
        <v>296</v>
      </c>
      <c r="E12" s="9">
        <f t="shared" si="6"/>
        <v>185</v>
      </c>
      <c r="F12" s="9">
        <f t="shared" si="6"/>
        <v>246</v>
      </c>
      <c r="G12" s="9">
        <f t="shared" si="6"/>
        <v>-49</v>
      </c>
      <c r="H12" s="9">
        <f t="shared" si="6"/>
        <v>111</v>
      </c>
      <c r="I12" s="9">
        <f t="shared" si="6"/>
        <v>-156</v>
      </c>
      <c r="J12" s="9">
        <f t="shared" si="6"/>
        <v>139</v>
      </c>
      <c r="K12" s="9">
        <f t="shared" si="6"/>
        <v>22</v>
      </c>
      <c r="L12" s="9">
        <f t="shared" ref="L12" si="7">+L8-L11</f>
        <v>182</v>
      </c>
      <c r="Q12" s="9">
        <f>+Q8-Q11</f>
        <v>242</v>
      </c>
      <c r="R12" s="9">
        <f>+R8-R11</f>
        <v>680</v>
      </c>
      <c r="S12" s="9">
        <f>+S8-S11</f>
        <v>678</v>
      </c>
      <c r="T12" s="9">
        <f>+T8-T11</f>
        <v>117</v>
      </c>
    </row>
    <row r="13" spans="2:30" x14ac:dyDescent="0.2">
      <c r="B13" s="8" t="s">
        <v>45</v>
      </c>
      <c r="C13" s="8">
        <v>2</v>
      </c>
      <c r="D13" s="8">
        <v>2</v>
      </c>
      <c r="E13" s="8">
        <v>6</v>
      </c>
      <c r="F13" s="8">
        <v>13</v>
      </c>
      <c r="G13" s="8">
        <v>21</v>
      </c>
      <c r="H13" s="8">
        <v>24</v>
      </c>
      <c r="I13" s="8">
        <v>28</v>
      </c>
      <c r="J13" s="8">
        <v>28</v>
      </c>
      <c r="K13" s="8">
        <v>30</v>
      </c>
      <c r="L13" s="8">
        <v>32</v>
      </c>
      <c r="Q13" s="8">
        <v>2</v>
      </c>
      <c r="R13" s="8">
        <v>2</v>
      </c>
      <c r="S13" s="8">
        <v>42</v>
      </c>
      <c r="T13" s="8">
        <v>110</v>
      </c>
    </row>
    <row r="14" spans="2:30" x14ac:dyDescent="0.2">
      <c r="B14" s="8" t="s">
        <v>46</v>
      </c>
      <c r="C14" s="8">
        <v>0</v>
      </c>
      <c r="D14" s="8">
        <v>4</v>
      </c>
      <c r="E14" s="8">
        <v>23</v>
      </c>
      <c r="F14" s="8">
        <v>-23</v>
      </c>
      <c r="G14" s="8">
        <v>-1</v>
      </c>
      <c r="H14" s="8">
        <v>-1</v>
      </c>
      <c r="I14" s="8">
        <v>14</v>
      </c>
      <c r="J14" s="8">
        <v>-15</v>
      </c>
      <c r="K14" s="8">
        <v>13</v>
      </c>
      <c r="L14" s="8">
        <v>6</v>
      </c>
      <c r="Q14" s="8">
        <v>-20</v>
      </c>
      <c r="R14" s="8">
        <v>10</v>
      </c>
      <c r="S14" s="8">
        <v>3</v>
      </c>
      <c r="T14" s="8">
        <v>11</v>
      </c>
    </row>
    <row r="15" spans="2:30" x14ac:dyDescent="0.2">
      <c r="B15" s="8" t="s">
        <v>47</v>
      </c>
      <c r="C15" s="8">
        <f>+SUM(C13:C14)+C12</f>
        <v>-40</v>
      </c>
      <c r="D15" s="8">
        <f>+SUM(D13:D14)+D12</f>
        <v>302</v>
      </c>
      <c r="E15" s="8">
        <f>+SUM(E13:E14)+E12</f>
        <v>214</v>
      </c>
      <c r="F15" s="8">
        <f>+SUM(F13:F14)+F12</f>
        <v>236</v>
      </c>
      <c r="G15" s="8">
        <f>+SUM(G13:G14)+G12</f>
        <v>-29</v>
      </c>
      <c r="H15" s="8">
        <f>+SUM(H13:H14)+H12</f>
        <v>134</v>
      </c>
      <c r="I15" s="8">
        <f>+SUM(I13:I14)+I12</f>
        <v>-114</v>
      </c>
      <c r="J15" s="8">
        <f>+SUM(J13:J14)+J12</f>
        <v>152</v>
      </c>
      <c r="K15" s="8">
        <f>+SUM(K13:K14)+K12</f>
        <v>65</v>
      </c>
      <c r="L15" s="8">
        <f>+SUM(L13:L14)+L12</f>
        <v>220</v>
      </c>
      <c r="Q15" s="8">
        <f>+SUM(Q13:Q14)+Q12</f>
        <v>224</v>
      </c>
      <c r="R15" s="8">
        <f>+SUM(R13:R14)+R12</f>
        <v>692</v>
      </c>
      <c r="S15" s="8">
        <f>+SUM(S13:S14)+S12</f>
        <v>723</v>
      </c>
      <c r="T15" s="8">
        <f>+SUM(T13:T14)+T12</f>
        <v>238</v>
      </c>
    </row>
    <row r="16" spans="2:30" x14ac:dyDescent="0.2">
      <c r="B16" s="8" t="s">
        <v>48</v>
      </c>
      <c r="C16" s="8">
        <v>-12</v>
      </c>
      <c r="D16" s="8">
        <v>61</v>
      </c>
      <c r="E16" s="8">
        <v>38</v>
      </c>
      <c r="F16" s="8">
        <v>46</v>
      </c>
      <c r="G16" s="8">
        <v>2</v>
      </c>
      <c r="H16" s="8">
        <v>22</v>
      </c>
      <c r="I16" s="8">
        <v>-9</v>
      </c>
      <c r="J16" s="8">
        <v>59</v>
      </c>
      <c r="K16" s="8">
        <v>-166</v>
      </c>
      <c r="L16" s="8">
        <v>-21</v>
      </c>
      <c r="Q16" s="8">
        <v>153</v>
      </c>
      <c r="R16" s="8">
        <v>110</v>
      </c>
      <c r="S16" s="8">
        <v>147</v>
      </c>
      <c r="T16" s="8">
        <v>-94</v>
      </c>
    </row>
    <row r="17" spans="2:20" s="9" customFormat="1" x14ac:dyDescent="0.2">
      <c r="B17" s="9" t="s">
        <v>49</v>
      </c>
      <c r="C17" s="9">
        <f>+C15-C16</f>
        <v>-28</v>
      </c>
      <c r="D17" s="9">
        <f>+D15-D16</f>
        <v>241</v>
      </c>
      <c r="E17" s="9">
        <f>+E15-E16</f>
        <v>176</v>
      </c>
      <c r="F17" s="9">
        <f t="shared" ref="F17:K17" si="8">+F15-F16</f>
        <v>190</v>
      </c>
      <c r="G17" s="9">
        <f t="shared" si="8"/>
        <v>-31</v>
      </c>
      <c r="H17" s="9">
        <f t="shared" si="8"/>
        <v>112</v>
      </c>
      <c r="I17" s="9">
        <f t="shared" si="8"/>
        <v>-105</v>
      </c>
      <c r="J17" s="9">
        <f t="shared" si="8"/>
        <v>93</v>
      </c>
      <c r="K17" s="9">
        <f t="shared" si="8"/>
        <v>231</v>
      </c>
      <c r="L17" s="9">
        <f t="shared" ref="L17" si="9">+L15-L16</f>
        <v>241</v>
      </c>
      <c r="Q17" s="9">
        <f t="shared" ref="Q17:T17" si="10">+Q15-Q16</f>
        <v>71</v>
      </c>
      <c r="R17" s="9">
        <f t="shared" si="10"/>
        <v>582</v>
      </c>
      <c r="S17" s="9">
        <f t="shared" si="10"/>
        <v>576</v>
      </c>
      <c r="T17" s="9">
        <f t="shared" si="10"/>
        <v>332</v>
      </c>
    </row>
    <row r="18" spans="2:20" s="11" customFormat="1" x14ac:dyDescent="0.2">
      <c r="B18" s="11" t="s">
        <v>50</v>
      </c>
      <c r="C18" s="11">
        <f t="shared" ref="C18:K18" si="11">+C17/C19</f>
        <v>-2.7311744049941473E-2</v>
      </c>
      <c r="D18" s="11">
        <f t="shared" si="11"/>
        <v>0.23491568378984304</v>
      </c>
      <c r="E18" s="11">
        <f t="shared" si="11"/>
        <v>0.17136489657276535</v>
      </c>
      <c r="F18" s="11">
        <f t="shared" si="11"/>
        <v>0.18484288354898334</v>
      </c>
      <c r="G18" s="11">
        <f t="shared" si="11"/>
        <v>-3.0120481927710843E-2</v>
      </c>
      <c r="H18" s="11">
        <f t="shared" si="11"/>
        <v>0.10888586428154774</v>
      </c>
      <c r="I18" s="11">
        <f t="shared" si="11"/>
        <v>-0.10240776804078759</v>
      </c>
      <c r="J18" s="11">
        <f t="shared" si="11"/>
        <v>8.8665288040929213E-2</v>
      </c>
      <c r="K18" s="11">
        <f t="shared" si="11"/>
        <v>0.21843971631205675</v>
      </c>
      <c r="L18" s="11">
        <f t="shared" ref="L18" si="12">+L17/L19</f>
        <v>0.22735849056603774</v>
      </c>
      <c r="Q18" s="11">
        <f>+Q17/Q19</f>
        <v>6.9254779555208743E-2</v>
      </c>
      <c r="R18" s="11">
        <f>+R17/R19</f>
        <v>0.56769410846664059</v>
      </c>
      <c r="S18" s="11">
        <f>+S17/S19</f>
        <v>0.56058394160583946</v>
      </c>
      <c r="T18" s="11">
        <f>+T17/T19</f>
        <v>0.31785543322163717</v>
      </c>
    </row>
    <row r="19" spans="2:20" x14ac:dyDescent="0.2">
      <c r="B19" s="8" t="s">
        <v>30</v>
      </c>
      <c r="C19" s="8">
        <v>1025.2</v>
      </c>
      <c r="D19" s="8">
        <v>1025.9000000000001</v>
      </c>
      <c r="E19" s="8">
        <v>1027.0481500000001</v>
      </c>
      <c r="F19" s="8">
        <v>1027.9000000000001</v>
      </c>
      <c r="G19" s="8">
        <v>1029.2</v>
      </c>
      <c r="H19" s="8">
        <v>1028.5999999999999</v>
      </c>
      <c r="I19" s="8">
        <v>1025.3128449999999</v>
      </c>
      <c r="J19" s="8">
        <v>1048.8884889999999</v>
      </c>
      <c r="K19" s="8">
        <v>1057.5</v>
      </c>
      <c r="L19" s="8">
        <v>1060</v>
      </c>
      <c r="Q19" s="8">
        <v>1025.2</v>
      </c>
      <c r="R19" s="8">
        <v>1025.2</v>
      </c>
      <c r="S19" s="8">
        <v>1027.5</v>
      </c>
      <c r="T19" s="8">
        <v>1044.5</v>
      </c>
    </row>
    <row r="21" spans="2:20" s="6" customFormat="1" x14ac:dyDescent="0.2">
      <c r="B21" s="6" t="s">
        <v>51</v>
      </c>
      <c r="C21" s="6">
        <f>+C8/C6</f>
        <v>0.94368340943683404</v>
      </c>
      <c r="D21" s="6">
        <f>+D8/D6</f>
        <v>0.96387283236994215</v>
      </c>
      <c r="E21" s="6">
        <f>+E8/E6</f>
        <v>0.96031746031746035</v>
      </c>
      <c r="F21" s="6">
        <f>+F8/F6</f>
        <v>0.95994475138121549</v>
      </c>
      <c r="G21" s="6">
        <f>+G8/G6</f>
        <v>0.95734597156398105</v>
      </c>
      <c r="H21" s="6">
        <f>+H8/H6</f>
        <v>0.95407407407407407</v>
      </c>
      <c r="I21" s="6">
        <f>+I8/I6</f>
        <v>0.94292803970223327</v>
      </c>
      <c r="J21" s="6">
        <f>+J8/J6</f>
        <v>0.95625759416767919</v>
      </c>
      <c r="K21" s="6">
        <f>+K8/K6</f>
        <v>0.95581896551724133</v>
      </c>
      <c r="L21" s="6">
        <f>+L8/L6</f>
        <v>0.96485623003194887</v>
      </c>
      <c r="Q21" s="6">
        <f>+Q8/Q6</f>
        <v>0.92846571287617163</v>
      </c>
      <c r="R21" s="6">
        <f>+R8/R6</f>
        <v>0.95153533111357746</v>
      </c>
      <c r="S21" s="6">
        <f>+S8/S6</f>
        <v>0.96043299738708476</v>
      </c>
      <c r="T21" s="6">
        <f>+T8/T6</f>
        <v>0.95236622332199194</v>
      </c>
    </row>
    <row r="22" spans="2:20" s="6" customFormat="1" x14ac:dyDescent="0.2">
      <c r="B22" s="6" t="s">
        <v>100</v>
      </c>
      <c r="C22" s="6">
        <f>+C9/C6</f>
        <v>0.51902587519025878</v>
      </c>
      <c r="D22" s="6">
        <f>+D9/D6</f>
        <v>0.31502890173410403</v>
      </c>
      <c r="E22" s="6">
        <f>+E9/E6</f>
        <v>0.39365079365079364</v>
      </c>
      <c r="F22" s="6">
        <f>+F9/F6</f>
        <v>0.39502762430939226</v>
      </c>
      <c r="G22" s="6">
        <f>+G9/G6</f>
        <v>0.6018957345971564</v>
      </c>
      <c r="H22" s="6">
        <f>+H9/H6</f>
        <v>0.49925925925925924</v>
      </c>
      <c r="I22" s="6">
        <f>+I9/I6</f>
        <v>0.77667493796526055</v>
      </c>
      <c r="J22" s="6">
        <f>+J9/J6</f>
        <v>0.52490886998784936</v>
      </c>
      <c r="K22" s="6">
        <f>+K9/K6</f>
        <v>0.62931034482758619</v>
      </c>
      <c r="L22" s="6">
        <f>+L9/L6</f>
        <v>0.51650692225772099</v>
      </c>
    </row>
    <row r="23" spans="2:20" s="6" customFormat="1" x14ac:dyDescent="0.2">
      <c r="B23" s="6" t="s">
        <v>101</v>
      </c>
      <c r="C23" s="6">
        <f>+C10/C6</f>
        <v>0.48858447488584472</v>
      </c>
      <c r="D23" s="6">
        <f>+D10/D6</f>
        <v>0.22109826589595374</v>
      </c>
      <c r="E23" s="6">
        <f>+E10/E6</f>
        <v>0.27301587301587299</v>
      </c>
      <c r="F23" s="6">
        <f>+F10/F6</f>
        <v>0.22513812154696133</v>
      </c>
      <c r="G23" s="6">
        <f>+G10/G6</f>
        <v>0.43285939968404424</v>
      </c>
      <c r="H23" s="6">
        <f>+H10/H6</f>
        <v>0.29037037037037039</v>
      </c>
      <c r="I23" s="6">
        <f>+I10/I6</f>
        <v>0.35980148883374691</v>
      </c>
      <c r="J23" s="6">
        <f>+J10/J6</f>
        <v>0.26245443499392468</v>
      </c>
      <c r="K23" s="6">
        <f>+K10/K6</f>
        <v>0.30280172413793105</v>
      </c>
      <c r="L23" s="6">
        <f>+L10/L6</f>
        <v>0.25452609158679446</v>
      </c>
    </row>
    <row r="24" spans="2:20" s="6" customFormat="1" x14ac:dyDescent="0.2">
      <c r="B24" s="6" t="s">
        <v>52</v>
      </c>
      <c r="C24" s="6">
        <f>+C12/C6</f>
        <v>-6.3926940639269403E-2</v>
      </c>
      <c r="D24" s="6">
        <f>+D12/D6</f>
        <v>0.4277456647398844</v>
      </c>
      <c r="E24" s="6">
        <f>+E12/E6</f>
        <v>0.29365079365079366</v>
      </c>
      <c r="F24" s="6">
        <f>+F12/F6</f>
        <v>0.3397790055248619</v>
      </c>
      <c r="G24" s="6">
        <f>+G12/G6</f>
        <v>-7.7409162717219593E-2</v>
      </c>
      <c r="H24" s="6">
        <f>+H12/H6</f>
        <v>0.16444444444444445</v>
      </c>
      <c r="I24" s="6">
        <f>+I12/I6</f>
        <v>-0.19354838709677419</v>
      </c>
      <c r="J24" s="6">
        <f>+J12/J6</f>
        <v>0.16889428918590524</v>
      </c>
      <c r="K24" s="6">
        <f>+K12/K6</f>
        <v>2.3706896551724137E-2</v>
      </c>
      <c r="L24" s="6">
        <f>+L12/L6</f>
        <v>0.19382321618743345</v>
      </c>
      <c r="Q24" s="6">
        <f>+Q12/Q6</f>
        <v>0.11938825851011346</v>
      </c>
      <c r="R24" s="6">
        <f>+R12/R6</f>
        <v>0.25157232704402516</v>
      </c>
      <c r="S24" s="6">
        <f>+S12/S6</f>
        <v>0.25307950727883538</v>
      </c>
      <c r="T24" s="6">
        <f>+T12/T6</f>
        <v>3.6189297865759355E-2</v>
      </c>
    </row>
    <row r="25" spans="2:20" s="6" customFormat="1" x14ac:dyDescent="0.2">
      <c r="B25" s="6" t="s">
        <v>53</v>
      </c>
      <c r="C25" s="6">
        <f>+C17/C6</f>
        <v>-4.2617960426179602E-2</v>
      </c>
      <c r="D25" s="6">
        <f>+D17/D6</f>
        <v>0.34826589595375723</v>
      </c>
      <c r="E25" s="6">
        <f>+E17/E6</f>
        <v>0.27936507936507937</v>
      </c>
      <c r="F25" s="6">
        <f>+F17/F6</f>
        <v>0.26243093922651933</v>
      </c>
      <c r="G25" s="6">
        <f>+G17/G6</f>
        <v>-4.8973143759873619E-2</v>
      </c>
      <c r="H25" s="6">
        <f>+H17/H6</f>
        <v>0.16592592592592592</v>
      </c>
      <c r="I25" s="6">
        <f>+I17/I6</f>
        <v>-0.13027295285359802</v>
      </c>
      <c r="J25" s="6">
        <f>+J17/J6</f>
        <v>0.11300121506682867</v>
      </c>
      <c r="K25" s="6">
        <f>+K17/K6</f>
        <v>0.24892241379310345</v>
      </c>
      <c r="L25" s="6">
        <f>+L17/L6</f>
        <v>0.25665601703940361</v>
      </c>
      <c r="Q25" s="6">
        <f>+Q17/Q6</f>
        <v>3.5027133695115932E-2</v>
      </c>
      <c r="R25" s="6">
        <f>+R17/R6</f>
        <v>0.2153163152053274</v>
      </c>
      <c r="S25" s="6">
        <f>+S17/S6</f>
        <v>0.21500559910414332</v>
      </c>
      <c r="T25" s="6">
        <f>+T17/T6</f>
        <v>0.10269099907206929</v>
      </c>
    </row>
    <row r="26" spans="2:20" s="6" customFormat="1" x14ac:dyDescent="0.2">
      <c r="B26" s="6" t="s">
        <v>54</v>
      </c>
      <c r="C26" s="6">
        <f t="shared" ref="C26:J26" si="13">+C16/C15</f>
        <v>0.3</v>
      </c>
      <c r="D26" s="6">
        <f t="shared" si="13"/>
        <v>0.20198675496688742</v>
      </c>
      <c r="E26" s="6">
        <f t="shared" si="13"/>
        <v>0.17757009345794392</v>
      </c>
      <c r="F26" s="6">
        <f t="shared" si="13"/>
        <v>0.19491525423728814</v>
      </c>
      <c r="G26" s="6">
        <f t="shared" si="13"/>
        <v>-6.8965517241379309E-2</v>
      </c>
      <c r="H26" s="6">
        <f t="shared" si="13"/>
        <v>0.16417910447761194</v>
      </c>
      <c r="I26" s="6">
        <f t="shared" si="13"/>
        <v>7.8947368421052627E-2</v>
      </c>
      <c r="J26" s="6">
        <f t="shared" si="13"/>
        <v>0.38815789473684209</v>
      </c>
      <c r="K26" s="6">
        <f t="shared" ref="K26:L26" si="14">+K16/K15</f>
        <v>-2.5538461538461537</v>
      </c>
      <c r="L26" s="6">
        <f t="shared" si="14"/>
        <v>-9.5454545454545459E-2</v>
      </c>
      <c r="Q26" s="6">
        <f>+Q16/Q15</f>
        <v>0.6830357142857143</v>
      </c>
      <c r="R26" s="6">
        <f>+R16/R15</f>
        <v>0.15895953757225434</v>
      </c>
      <c r="S26" s="6">
        <f>+S16/S15</f>
        <v>0.2033195020746888</v>
      </c>
      <c r="T26" s="6">
        <f>+T16/T15</f>
        <v>-0.3949579831932773</v>
      </c>
    </row>
    <row r="27" spans="2:20" s="6" customFormat="1" x14ac:dyDescent="0.2"/>
    <row r="28" spans="2:20" s="7" customFormat="1" x14ac:dyDescent="0.2">
      <c r="B28" s="7" t="s">
        <v>55</v>
      </c>
      <c r="G28" s="7">
        <f>+G6/C6-1</f>
        <v>-3.6529680365296802E-2</v>
      </c>
      <c r="H28" s="7">
        <f>+H6/D6-1</f>
        <v>-2.4566473988439252E-2</v>
      </c>
      <c r="I28" s="7">
        <f>+I6/E6-1</f>
        <v>0.27936507936507926</v>
      </c>
      <c r="J28" s="7">
        <f>+J6/F6</f>
        <v>1.1367403314917126</v>
      </c>
      <c r="K28" s="7">
        <f>+K6/G6</f>
        <v>1.4660347551342812</v>
      </c>
      <c r="L28" s="7">
        <f>+L6/H6</f>
        <v>1.3911111111111112</v>
      </c>
      <c r="R28" s="7">
        <f>+R6/Q6-1</f>
        <v>0.33349777997039953</v>
      </c>
      <c r="S28" s="7">
        <f>+S6/R6-1</f>
        <v>-8.8790233074361735E-3</v>
      </c>
      <c r="T28" s="7">
        <f>+T6/S6-1</f>
        <v>0.20679357969391554</v>
      </c>
    </row>
    <row r="29" spans="2:20" s="6" customFormat="1" x14ac:dyDescent="0.2">
      <c r="B29" s="6" t="s">
        <v>97</v>
      </c>
      <c r="D29" s="6">
        <f>+D6/C6-1</f>
        <v>5.3272450532724447E-2</v>
      </c>
      <c r="E29" s="6">
        <f>+E6/D6-1</f>
        <v>-8.9595375722543391E-2</v>
      </c>
      <c r="F29" s="6">
        <f>+F6/E6-1</f>
        <v>0.14920634920634912</v>
      </c>
      <c r="G29" s="6">
        <f>+G6/F6-1</f>
        <v>-0.12569060773480667</v>
      </c>
      <c r="H29" s="6">
        <f>+H6/G6-1</f>
        <v>6.6350710900473953E-2</v>
      </c>
      <c r="I29" s="6">
        <f>+I6/H6-1</f>
        <v>0.19407407407407407</v>
      </c>
      <c r="J29" s="6">
        <f>+J6/I6-1</f>
        <v>2.1091811414392092E-2</v>
      </c>
      <c r="K29" s="6">
        <f>+K6/J6-1</f>
        <v>0.12758201701093563</v>
      </c>
      <c r="L29" s="6">
        <f>+L6/K6-1</f>
        <v>1.18534482758621E-2</v>
      </c>
    </row>
    <row r="30" spans="2:20" s="6" customFormat="1" x14ac:dyDescent="0.2">
      <c r="B30" s="6" t="s">
        <v>98</v>
      </c>
      <c r="D30" s="6">
        <f>+D9/C9-1</f>
        <v>-0.36070381231671556</v>
      </c>
      <c r="E30" s="6">
        <f>+E9/D9-1</f>
        <v>0.13761467889908263</v>
      </c>
      <c r="F30" s="6">
        <f>+F9/E9-1</f>
        <v>0.15322580645161299</v>
      </c>
      <c r="G30" s="6">
        <f>+G9/F9-1</f>
        <v>0.33216783216783208</v>
      </c>
      <c r="H30" s="6">
        <f>+H9/G9-1</f>
        <v>-0.115485564304462</v>
      </c>
      <c r="I30" s="6">
        <f>+I9/H9-1</f>
        <v>0.85756676557863498</v>
      </c>
      <c r="J30" s="6">
        <f>+J9/I9-1</f>
        <v>-0.30990415335463262</v>
      </c>
      <c r="K30" s="6">
        <f>+K9/J9-1</f>
        <v>0.35185185185185186</v>
      </c>
      <c r="L30" s="6">
        <f>+L9/K9-1</f>
        <v>-0.16952054794520544</v>
      </c>
    </row>
    <row r="31" spans="2:20" s="6" customFormat="1" x14ac:dyDescent="0.2">
      <c r="B31" s="6" t="s">
        <v>99</v>
      </c>
      <c r="D31" s="6">
        <f>+D10/C10-1</f>
        <v>-0.52336448598130847</v>
      </c>
      <c r="E31" s="6">
        <f>+E10/D10-1</f>
        <v>0.12418300653594772</v>
      </c>
      <c r="F31" s="6">
        <f>+F10/E10-1</f>
        <v>-5.2325581395348819E-2</v>
      </c>
      <c r="G31" s="6">
        <f>+G10/F10-1</f>
        <v>0.68098159509202461</v>
      </c>
      <c r="H31" s="6">
        <f>+H10/G10-1</f>
        <v>-0.28467153284671531</v>
      </c>
      <c r="I31" s="6">
        <f>+I10/H10-1</f>
        <v>0.47959183673469385</v>
      </c>
      <c r="J31" s="6">
        <f>+J10/I10-1</f>
        <v>-0.2551724137931034</v>
      </c>
      <c r="K31" s="6">
        <f>+K10/J10-1</f>
        <v>0.30092592592592582</v>
      </c>
      <c r="L31" s="6">
        <f>+L10/K10-1</f>
        <v>-0.14946619217081847</v>
      </c>
    </row>
    <row r="32" spans="2:20" s="6" customFormat="1" x14ac:dyDescent="0.2"/>
    <row r="34" spans="2:12" x14ac:dyDescent="0.2">
      <c r="B34" s="8" t="s">
        <v>56</v>
      </c>
    </row>
    <row r="35" spans="2:12" x14ac:dyDescent="0.2">
      <c r="B35" s="8" t="s">
        <v>32</v>
      </c>
      <c r="C35" s="8">
        <f>1004+631+736</f>
        <v>2371</v>
      </c>
      <c r="D35" s="8">
        <f>788+566+730</f>
        <v>2084</v>
      </c>
      <c r="E35" s="8">
        <f>690+686+670</f>
        <v>2046</v>
      </c>
      <c r="F35" s="8">
        <f>1101+671+665</f>
        <v>2437</v>
      </c>
      <c r="G35" s="8">
        <f>1554+661+723</f>
        <v>2938</v>
      </c>
      <c r="H35" s="8">
        <f>1248+801+727</f>
        <v>2776</v>
      </c>
      <c r="I35" s="8">
        <f>1406+800+725</f>
        <v>2931</v>
      </c>
      <c r="J35" s="8">
        <f>1551+850+748</f>
        <v>3149</v>
      </c>
      <c r="K35" s="8">
        <f>1923+1000+741</f>
        <v>3664</v>
      </c>
      <c r="L35" s="8">
        <f>1465+1000+800</f>
        <v>3265</v>
      </c>
    </row>
    <row r="36" spans="2:12" x14ac:dyDescent="0.2">
      <c r="B36" s="8" t="s">
        <v>57</v>
      </c>
      <c r="C36" s="8">
        <v>1124</v>
      </c>
      <c r="D36" s="8">
        <v>1189</v>
      </c>
      <c r="E36" s="8">
        <v>1333</v>
      </c>
      <c r="F36" s="8">
        <v>1276</v>
      </c>
      <c r="G36" s="8">
        <v>999</v>
      </c>
      <c r="H36" s="8">
        <v>897</v>
      </c>
      <c r="I36" s="8">
        <v>864</v>
      </c>
      <c r="J36" s="8">
        <v>799</v>
      </c>
      <c r="K36" s="8">
        <v>781</v>
      </c>
      <c r="L36" s="8">
        <v>804</v>
      </c>
    </row>
    <row r="37" spans="2:12" x14ac:dyDescent="0.2">
      <c r="B37" s="8" t="s">
        <v>72</v>
      </c>
      <c r="C37" s="8">
        <f>166+100</f>
        <v>266</v>
      </c>
      <c r="D37" s="8">
        <f>132+120</f>
        <v>252</v>
      </c>
      <c r="E37" s="8">
        <f>139+89</f>
        <v>228</v>
      </c>
      <c r="F37" s="8">
        <f>170+90</f>
        <v>260</v>
      </c>
      <c r="G37" s="8">
        <f>154+116</f>
        <v>270</v>
      </c>
      <c r="H37" s="8">
        <f>158+143</f>
        <v>301</v>
      </c>
      <c r="I37" s="8">
        <f>235+121</f>
        <v>356</v>
      </c>
      <c r="J37" s="8">
        <f>280+143</f>
        <v>423</v>
      </c>
      <c r="K37" s="8">
        <f>336+240</f>
        <v>576</v>
      </c>
      <c r="L37" s="8">
        <f>455+363</f>
        <v>818</v>
      </c>
    </row>
    <row r="38" spans="2:12" x14ac:dyDescent="0.2">
      <c r="B38" s="8" t="s">
        <v>58</v>
      </c>
      <c r="C38" s="8">
        <v>167</v>
      </c>
      <c r="D38" s="8">
        <v>135</v>
      </c>
      <c r="E38" s="8">
        <v>130</v>
      </c>
      <c r="F38" s="8">
        <v>112</v>
      </c>
      <c r="G38" s="8">
        <v>169</v>
      </c>
      <c r="H38" s="8">
        <v>133</v>
      </c>
      <c r="I38" s="8">
        <v>137</v>
      </c>
      <c r="J38" s="8">
        <v>148</v>
      </c>
      <c r="K38" s="8">
        <v>157</v>
      </c>
      <c r="L38" s="8">
        <v>116</v>
      </c>
    </row>
    <row r="39" spans="2:12" x14ac:dyDescent="0.2">
      <c r="B39" s="8" t="s">
        <v>59</v>
      </c>
      <c r="C39" s="8">
        <v>188</v>
      </c>
      <c r="D39" s="8">
        <v>188</v>
      </c>
      <c r="E39" s="8">
        <v>187</v>
      </c>
      <c r="F39" s="8">
        <v>180</v>
      </c>
      <c r="G39" s="8">
        <v>185</v>
      </c>
      <c r="H39" s="8">
        <v>197</v>
      </c>
      <c r="I39" s="8">
        <v>205</v>
      </c>
      <c r="J39" s="8">
        <v>221</v>
      </c>
      <c r="K39" s="8">
        <v>215</v>
      </c>
      <c r="L39" s="8">
        <v>231</v>
      </c>
    </row>
    <row r="40" spans="2:12" x14ac:dyDescent="0.2">
      <c r="B40" s="8" t="s">
        <v>60</v>
      </c>
      <c r="C40" s="8">
        <v>229</v>
      </c>
      <c r="D40" s="8">
        <v>212</v>
      </c>
      <c r="E40" s="8">
        <v>205</v>
      </c>
      <c r="F40" s="8">
        <v>203</v>
      </c>
      <c r="G40" s="8">
        <v>206</v>
      </c>
      <c r="H40" s="8">
        <v>206</v>
      </c>
      <c r="I40" s="8">
        <v>205</v>
      </c>
      <c r="J40" s="8">
        <v>204</v>
      </c>
      <c r="K40" s="8">
        <v>205</v>
      </c>
      <c r="L40" s="8">
        <v>233</v>
      </c>
    </row>
    <row r="41" spans="2:12" x14ac:dyDescent="0.2">
      <c r="B41" s="8" t="s">
        <v>61</v>
      </c>
      <c r="C41" s="8">
        <f>1636+205</f>
        <v>1841</v>
      </c>
      <c r="D41" s="8">
        <f>1616+198</f>
        <v>1814</v>
      </c>
      <c r="E41" s="8">
        <f>1593+176</f>
        <v>1769</v>
      </c>
      <c r="F41" s="8">
        <f>1614+155</f>
        <v>1769</v>
      </c>
      <c r="G41" s="8">
        <f>1620+138</f>
        <v>1758</v>
      </c>
      <c r="H41" s="8">
        <f>1626+169</f>
        <v>1795</v>
      </c>
      <c r="I41" s="8">
        <f>1615+147</f>
        <v>1762</v>
      </c>
      <c r="J41" s="8">
        <f>1628+163</f>
        <v>1791</v>
      </c>
      <c r="K41" s="8">
        <f>1625+152</f>
        <v>1777</v>
      </c>
      <c r="L41" s="8">
        <f>1625+159</f>
        <v>1784</v>
      </c>
    </row>
    <row r="42" spans="2:12" x14ac:dyDescent="0.2">
      <c r="B42" s="8" t="s">
        <v>62</v>
      </c>
      <c r="C42" s="8">
        <v>135</v>
      </c>
      <c r="D42" s="8">
        <v>134</v>
      </c>
      <c r="E42" s="8">
        <v>0</v>
      </c>
      <c r="F42" s="8">
        <v>0</v>
      </c>
      <c r="G42" s="8">
        <v>139</v>
      </c>
      <c r="H42" s="8">
        <v>147</v>
      </c>
      <c r="I42" s="8">
        <v>139</v>
      </c>
      <c r="J42" s="8">
        <v>140</v>
      </c>
      <c r="K42" s="8">
        <v>282</v>
      </c>
      <c r="L42" s="8">
        <v>324</v>
      </c>
    </row>
    <row r="43" spans="2:12" x14ac:dyDescent="0.2">
      <c r="B43" s="8" t="s">
        <v>46</v>
      </c>
      <c r="C43" s="8">
        <v>189</v>
      </c>
      <c r="D43" s="8">
        <v>205</v>
      </c>
      <c r="E43" s="8">
        <v>216</v>
      </c>
      <c r="F43" s="8">
        <v>226</v>
      </c>
      <c r="G43" s="8">
        <v>202</v>
      </c>
      <c r="H43" s="8">
        <v>248</v>
      </c>
      <c r="I43" s="8">
        <v>211</v>
      </c>
      <c r="J43" s="8">
        <v>240</v>
      </c>
      <c r="K43" s="8">
        <v>270</v>
      </c>
      <c r="L43" s="8">
        <v>305</v>
      </c>
    </row>
    <row r="44" spans="2:12" s="9" customFormat="1" x14ac:dyDescent="0.2">
      <c r="B44" s="9" t="s">
        <v>63</v>
      </c>
      <c r="C44" s="9">
        <f t="shared" ref="C44:J44" si="15">SUM(C35:C43)</f>
        <v>6510</v>
      </c>
      <c r="D44" s="9">
        <f t="shared" si="15"/>
        <v>6213</v>
      </c>
      <c r="E44" s="9">
        <f t="shared" si="15"/>
        <v>6114</v>
      </c>
      <c r="F44" s="9">
        <f t="shared" si="15"/>
        <v>6463</v>
      </c>
      <c r="G44" s="9">
        <f t="shared" si="15"/>
        <v>6866</v>
      </c>
      <c r="H44" s="9">
        <f t="shared" si="15"/>
        <v>6700</v>
      </c>
      <c r="I44" s="9">
        <f t="shared" si="15"/>
        <v>6810</v>
      </c>
      <c r="J44" s="9">
        <f t="shared" si="15"/>
        <v>7115</v>
      </c>
      <c r="K44" s="9">
        <f t="shared" ref="K44" si="16">SUM(K35:K43)</f>
        <v>7927</v>
      </c>
      <c r="L44" s="9">
        <f>SUM(L35:L43)</f>
        <v>7880</v>
      </c>
    </row>
    <row r="45" spans="2:12" x14ac:dyDescent="0.2">
      <c r="B45" s="8" t="s">
        <v>74</v>
      </c>
      <c r="C45" s="8">
        <f>642+158</f>
        <v>800</v>
      </c>
      <c r="D45" s="8">
        <f>167+96</f>
        <v>263</v>
      </c>
      <c r="E45" s="8">
        <f>199+81</f>
        <v>280</v>
      </c>
      <c r="F45" s="8">
        <f>377+110</f>
        <v>487</v>
      </c>
      <c r="G45" s="8">
        <f>589+152</f>
        <v>741</v>
      </c>
      <c r="H45" s="8">
        <f>134+241</f>
        <v>375</v>
      </c>
      <c r="I45" s="8">
        <f>159+19</f>
        <v>178</v>
      </c>
      <c r="J45" s="8">
        <f>211+18</f>
        <v>229</v>
      </c>
      <c r="K45" s="8">
        <f>298+20</f>
        <v>318</v>
      </c>
      <c r="L45" s="8">
        <f>97+20</f>
        <v>117</v>
      </c>
    </row>
    <row r="46" spans="2:12" x14ac:dyDescent="0.2">
      <c r="B46" s="8" t="s">
        <v>48</v>
      </c>
      <c r="C46" s="8">
        <v>129</v>
      </c>
      <c r="D46" s="8">
        <v>180</v>
      </c>
      <c r="E46" s="8">
        <v>301</v>
      </c>
      <c r="F46" s="8">
        <v>337</v>
      </c>
      <c r="G46" s="8">
        <v>162</v>
      </c>
      <c r="H46" s="8">
        <v>184</v>
      </c>
      <c r="I46" s="8">
        <v>107</v>
      </c>
      <c r="J46" s="8">
        <v>127</v>
      </c>
      <c r="K46" s="8">
        <f>147</f>
        <v>147</v>
      </c>
      <c r="L46" s="8">
        <v>182</v>
      </c>
    </row>
    <row r="47" spans="2:12" x14ac:dyDescent="0.2">
      <c r="B47" s="8" t="s">
        <v>73</v>
      </c>
      <c r="C47" s="8">
        <f>334+792</f>
        <v>1126</v>
      </c>
      <c r="D47" s="8">
        <f>340+801</f>
        <v>1141</v>
      </c>
      <c r="E47" s="8">
        <f>353+785</f>
        <v>1138</v>
      </c>
      <c r="F47" s="8">
        <f>349+767</f>
        <v>1116</v>
      </c>
      <c r="G47" s="8">
        <f>293+807</f>
        <v>1100</v>
      </c>
      <c r="H47" s="8">
        <f>342+783</f>
        <v>1125</v>
      </c>
      <c r="I47" s="8">
        <f>288+740</f>
        <v>1028</v>
      </c>
      <c r="J47" s="8">
        <f>223+734</f>
        <v>957</v>
      </c>
      <c r="K47" s="8">
        <f>198+717</f>
        <v>915</v>
      </c>
      <c r="L47" s="8">
        <f>715+209</f>
        <v>924</v>
      </c>
    </row>
    <row r="48" spans="2:12" x14ac:dyDescent="0.2">
      <c r="B48" s="8" t="s">
        <v>60</v>
      </c>
      <c r="C48" s="8">
        <f>31+230</f>
        <v>261</v>
      </c>
      <c r="D48" s="8">
        <f>26+196</f>
        <v>222</v>
      </c>
      <c r="E48" s="8">
        <f>23+178</f>
        <v>201</v>
      </c>
      <c r="F48" s="8">
        <f>24+188</f>
        <v>212</v>
      </c>
      <c r="G48" s="8">
        <f>26+193</f>
        <v>219</v>
      </c>
      <c r="H48" s="8">
        <f>26+197</f>
        <v>223</v>
      </c>
      <c r="I48" s="8">
        <f>24+190</f>
        <v>214</v>
      </c>
      <c r="J48" s="8">
        <f>26+195</f>
        <v>221</v>
      </c>
      <c r="K48" s="8">
        <f>27+194</f>
        <v>221</v>
      </c>
      <c r="L48" s="8">
        <f>28+221</f>
        <v>249</v>
      </c>
    </row>
    <row r="49" spans="2:12" x14ac:dyDescent="0.2">
      <c r="B49" s="8" t="s">
        <v>46</v>
      </c>
      <c r="C49" s="8">
        <v>259</v>
      </c>
      <c r="D49" s="8">
        <v>291</v>
      </c>
      <c r="E49" s="8">
        <v>259</v>
      </c>
      <c r="F49" s="8">
        <v>194</v>
      </c>
      <c r="G49" s="8">
        <v>293</v>
      </c>
      <c r="H49" s="8">
        <v>260</v>
      </c>
      <c r="I49" s="8">
        <v>217</v>
      </c>
      <c r="J49" s="8">
        <v>279</v>
      </c>
      <c r="K49" s="8">
        <v>835</v>
      </c>
      <c r="L49" s="8">
        <v>549</v>
      </c>
    </row>
    <row r="50" spans="2:12" x14ac:dyDescent="0.2">
      <c r="B50" s="8" t="s">
        <v>102</v>
      </c>
      <c r="C50" s="8">
        <v>279</v>
      </c>
      <c r="D50" s="8">
        <v>270</v>
      </c>
      <c r="E50" s="8">
        <v>0</v>
      </c>
      <c r="F50" s="8">
        <v>0</v>
      </c>
      <c r="G50" s="8">
        <v>262</v>
      </c>
      <c r="H50" s="8">
        <v>257</v>
      </c>
      <c r="I50" s="8">
        <v>241</v>
      </c>
      <c r="J50" s="8">
        <v>237</v>
      </c>
      <c r="K50" s="8">
        <v>135</v>
      </c>
      <c r="L50" s="8">
        <v>142</v>
      </c>
    </row>
    <row r="51" spans="2:12" x14ac:dyDescent="0.2">
      <c r="B51" s="8" t="s">
        <v>46</v>
      </c>
      <c r="C51" s="8">
        <v>108</v>
      </c>
      <c r="D51" s="8">
        <v>98</v>
      </c>
      <c r="E51" s="8">
        <v>84</v>
      </c>
      <c r="F51" s="8">
        <v>78</v>
      </c>
      <c r="G51" s="8">
        <v>38</v>
      </c>
      <c r="H51" s="8">
        <v>55</v>
      </c>
      <c r="I51" s="8">
        <v>52</v>
      </c>
      <c r="J51" s="8">
        <v>61</v>
      </c>
      <c r="K51" s="8">
        <v>61</v>
      </c>
      <c r="L51" s="8">
        <v>54</v>
      </c>
    </row>
    <row r="52" spans="2:12" s="9" customFormat="1" x14ac:dyDescent="0.2">
      <c r="B52" s="9" t="s">
        <v>64</v>
      </c>
      <c r="C52" s="9">
        <f t="shared" ref="C52:J52" si="17">SUM(C45:C51)</f>
        <v>2962</v>
      </c>
      <c r="D52" s="9">
        <f t="shared" si="17"/>
        <v>2465</v>
      </c>
      <c r="E52" s="9">
        <f t="shared" si="17"/>
        <v>2263</v>
      </c>
      <c r="F52" s="9">
        <f t="shared" si="17"/>
        <v>2424</v>
      </c>
      <c r="G52" s="9">
        <f t="shared" si="17"/>
        <v>2815</v>
      </c>
      <c r="H52" s="9">
        <f t="shared" si="17"/>
        <v>2479</v>
      </c>
      <c r="I52" s="9">
        <f t="shared" si="17"/>
        <v>2037</v>
      </c>
      <c r="J52" s="9">
        <f t="shared" si="17"/>
        <v>2111</v>
      </c>
      <c r="K52" s="9">
        <f t="shared" ref="K52:L52" si="18">SUM(K45:K51)</f>
        <v>2632</v>
      </c>
      <c r="L52" s="9">
        <f t="shared" si="18"/>
        <v>2217</v>
      </c>
    </row>
    <row r="53" spans="2:12" x14ac:dyDescent="0.2">
      <c r="B53" s="8" t="s">
        <v>65</v>
      </c>
      <c r="C53" s="8">
        <f t="shared" ref="C53:J53" si="19">+C44-C52</f>
        <v>3548</v>
      </c>
      <c r="D53" s="8">
        <f t="shared" si="19"/>
        <v>3748</v>
      </c>
      <c r="E53" s="8">
        <f t="shared" si="19"/>
        <v>3851</v>
      </c>
      <c r="F53" s="8">
        <f t="shared" si="19"/>
        <v>4039</v>
      </c>
      <c r="G53" s="8">
        <f t="shared" si="19"/>
        <v>4051</v>
      </c>
      <c r="H53" s="8">
        <f t="shared" si="19"/>
        <v>4221</v>
      </c>
      <c r="I53" s="8">
        <f t="shared" si="19"/>
        <v>4773</v>
      </c>
      <c r="J53" s="8">
        <f t="shared" si="19"/>
        <v>5004</v>
      </c>
      <c r="K53" s="8">
        <f t="shared" ref="K53" si="20">+K44-K52</f>
        <v>5295</v>
      </c>
      <c r="L53" s="8">
        <f>+L44-L52</f>
        <v>5663</v>
      </c>
    </row>
    <row r="54" spans="2:12" x14ac:dyDescent="0.2">
      <c r="B54" s="8" t="s">
        <v>66</v>
      </c>
      <c r="C54" s="8">
        <f t="shared" ref="C54:J54" si="21">+C53+C52</f>
        <v>6510</v>
      </c>
      <c r="D54" s="8">
        <f t="shared" si="21"/>
        <v>6213</v>
      </c>
      <c r="E54" s="8">
        <f t="shared" si="21"/>
        <v>6114</v>
      </c>
      <c r="F54" s="8">
        <f t="shared" si="21"/>
        <v>6463</v>
      </c>
      <c r="G54" s="8">
        <f t="shared" si="21"/>
        <v>6866</v>
      </c>
      <c r="H54" s="8">
        <f t="shared" si="21"/>
        <v>6700</v>
      </c>
      <c r="I54" s="8">
        <f t="shared" si="21"/>
        <v>6810</v>
      </c>
      <c r="J54" s="8">
        <f t="shared" si="21"/>
        <v>7115</v>
      </c>
      <c r="K54" s="8">
        <f t="shared" ref="K54:L54" si="22">+K53+K52</f>
        <v>7927</v>
      </c>
      <c r="L54" s="8">
        <f t="shared" si="22"/>
        <v>7880</v>
      </c>
    </row>
    <row r="56" spans="2:12" x14ac:dyDescent="0.2">
      <c r="B56" s="8" t="s">
        <v>103</v>
      </c>
      <c r="F56" s="8">
        <f>+SUM(C17:F17)</f>
        <v>579</v>
      </c>
      <c r="G56" s="8">
        <f t="shared" ref="G56" si="23">+SUM(D17:G17)</f>
        <v>576</v>
      </c>
      <c r="H56" s="8">
        <f t="shared" ref="H56" si="24">+SUM(E17:H17)</f>
        <v>447</v>
      </c>
      <c r="I56" s="8">
        <f t="shared" ref="I56:J56" si="25">+SUM(F17:I17)</f>
        <v>166</v>
      </c>
      <c r="J56" s="8">
        <f t="shared" si="25"/>
        <v>69</v>
      </c>
      <c r="K56" s="8">
        <f>+SUM(H17:K17)</f>
        <v>331</v>
      </c>
      <c r="L56" s="8">
        <f>+SUM(I17:L17)</f>
        <v>460</v>
      </c>
    </row>
    <row r="57" spans="2:12" s="6" customFormat="1" x14ac:dyDescent="0.2">
      <c r="B57" s="6" t="s">
        <v>104</v>
      </c>
      <c r="F57" s="6">
        <f t="shared" ref="F57:J57" si="26">+F56/(F36+F37+F38+F39+F40+F42+F43)</f>
        <v>0.25653522374833848</v>
      </c>
      <c r="G57" s="6">
        <f t="shared" si="26"/>
        <v>0.26543778801843321</v>
      </c>
      <c r="H57" s="6">
        <f t="shared" si="26"/>
        <v>0.2099577266322217</v>
      </c>
      <c r="I57" s="6">
        <f t="shared" si="26"/>
        <v>7.8412848370335381E-2</v>
      </c>
      <c r="J57" s="6">
        <f t="shared" si="26"/>
        <v>3.1724137931034485E-2</v>
      </c>
      <c r="K57" s="6">
        <f>+K56/(K36+K37+K38+K39+K40+K42+K43)</f>
        <v>0.13314561544650041</v>
      </c>
      <c r="L57" s="6">
        <f>+L56/(L36+L37+L38+L39+L40+L42+L43)</f>
        <v>0.16248675379724478</v>
      </c>
    </row>
    <row r="59" spans="2:12" x14ac:dyDescent="0.2">
      <c r="B59" s="8" t="s">
        <v>68</v>
      </c>
      <c r="C59" s="8">
        <f t="shared" ref="C59:J59" si="27">+C17</f>
        <v>-28</v>
      </c>
      <c r="D59" s="8">
        <f t="shared" si="27"/>
        <v>241</v>
      </c>
      <c r="E59" s="8">
        <f t="shared" si="27"/>
        <v>176</v>
      </c>
      <c r="F59" s="8">
        <f t="shared" si="27"/>
        <v>190</v>
      </c>
      <c r="G59" s="8">
        <f t="shared" si="27"/>
        <v>-31</v>
      </c>
      <c r="H59" s="8">
        <f t="shared" si="27"/>
        <v>112</v>
      </c>
      <c r="I59" s="8">
        <f t="shared" si="27"/>
        <v>-105</v>
      </c>
      <c r="J59" s="8">
        <f t="shared" si="27"/>
        <v>93</v>
      </c>
      <c r="K59" s="8">
        <f>+K17</f>
        <v>231</v>
      </c>
      <c r="L59" s="8">
        <f>+L17</f>
        <v>241</v>
      </c>
    </row>
    <row r="60" spans="2:12" x14ac:dyDescent="0.2">
      <c r="B60" s="8" t="s">
        <v>69</v>
      </c>
      <c r="C60" s="8">
        <v>-29</v>
      </c>
      <c r="D60" s="8">
        <v>225</v>
      </c>
      <c r="E60" s="8">
        <v>114</v>
      </c>
      <c r="F60" s="8">
        <v>182</v>
      </c>
      <c r="G60" s="8">
        <v>3</v>
      </c>
      <c r="H60" s="8">
        <v>105</v>
      </c>
      <c r="I60" s="8">
        <v>-110</v>
      </c>
      <c r="J60" s="8">
        <v>87</v>
      </c>
      <c r="K60" s="8">
        <v>224</v>
      </c>
      <c r="L60" s="8">
        <v>223</v>
      </c>
    </row>
    <row r="61" spans="2:12" x14ac:dyDescent="0.2">
      <c r="B61" s="8" t="s">
        <v>70</v>
      </c>
      <c r="C61" s="8">
        <v>34</v>
      </c>
      <c r="D61" s="8">
        <v>42</v>
      </c>
      <c r="E61" s="8">
        <v>45</v>
      </c>
      <c r="F61" s="8">
        <v>43</v>
      </c>
      <c r="G61" s="8">
        <v>40</v>
      </c>
      <c r="H61" s="8">
        <v>41</v>
      </c>
      <c r="I61" s="8">
        <v>41</v>
      </c>
      <c r="J61" s="8">
        <v>42</v>
      </c>
      <c r="K61" s="8">
        <v>38</v>
      </c>
      <c r="L61" s="8">
        <v>43</v>
      </c>
    </row>
    <row r="62" spans="2:12" x14ac:dyDescent="0.2">
      <c r="B62" s="8" t="s">
        <v>102</v>
      </c>
      <c r="C62" s="8">
        <v>-104</v>
      </c>
      <c r="D62" s="8">
        <v>-8</v>
      </c>
      <c r="E62" s="8">
        <v>-1</v>
      </c>
      <c r="F62" s="8">
        <v>-17</v>
      </c>
      <c r="G62" s="8">
        <v>-8</v>
      </c>
      <c r="H62" s="8">
        <v>-13</v>
      </c>
      <c r="I62" s="8">
        <v>-4</v>
      </c>
      <c r="J62" s="8">
        <v>-9</v>
      </c>
      <c r="K62" s="8">
        <v>-247</v>
      </c>
      <c r="L62" s="8">
        <v>2</v>
      </c>
    </row>
    <row r="63" spans="2:12" x14ac:dyDescent="0.2">
      <c r="B63" s="8" t="s">
        <v>71</v>
      </c>
      <c r="C63" s="8">
        <f>-41+20</f>
        <v>-21</v>
      </c>
      <c r="D63" s="8">
        <v>14</v>
      </c>
      <c r="E63" s="8">
        <v>60</v>
      </c>
      <c r="F63" s="8">
        <v>6</v>
      </c>
      <c r="G63" s="8">
        <v>-35</v>
      </c>
      <c r="H63" s="8">
        <v>7</v>
      </c>
      <c r="I63" s="8">
        <v>5</v>
      </c>
      <c r="J63" s="8">
        <v>1</v>
      </c>
      <c r="K63" s="8">
        <v>7</v>
      </c>
      <c r="L63" s="8">
        <v>-24</v>
      </c>
    </row>
    <row r="64" spans="2:12" s="9" customFormat="1" x14ac:dyDescent="0.2">
      <c r="B64" s="9" t="s">
        <v>67</v>
      </c>
      <c r="C64" s="9">
        <v>-1</v>
      </c>
      <c r="D64" s="9">
        <v>13</v>
      </c>
      <c r="E64" s="9">
        <v>34</v>
      </c>
      <c r="F64" s="9">
        <v>38</v>
      </c>
      <c r="G64" s="9">
        <v>51</v>
      </c>
      <c r="H64" s="9">
        <v>140</v>
      </c>
      <c r="I64" s="9">
        <v>513</v>
      </c>
      <c r="J64" s="9">
        <v>199</v>
      </c>
      <c r="K64" s="9">
        <v>185</v>
      </c>
      <c r="L64" s="9">
        <v>182</v>
      </c>
    </row>
    <row r="65" spans="2:12" x14ac:dyDescent="0.2">
      <c r="B65" s="8" t="s">
        <v>60</v>
      </c>
      <c r="C65" s="8">
        <v>10</v>
      </c>
      <c r="D65" s="8">
        <v>9</v>
      </c>
      <c r="E65" s="8">
        <v>8</v>
      </c>
      <c r="F65" s="8">
        <v>9</v>
      </c>
      <c r="G65" s="8">
        <v>8</v>
      </c>
      <c r="H65" s="8">
        <v>8</v>
      </c>
      <c r="I65" s="8">
        <v>9</v>
      </c>
      <c r="J65" s="8">
        <v>9</v>
      </c>
      <c r="K65" s="8">
        <v>9</v>
      </c>
      <c r="L65" s="8">
        <v>9</v>
      </c>
    </row>
    <row r="66" spans="2:12" x14ac:dyDescent="0.2">
      <c r="B66" s="8" t="s">
        <v>46</v>
      </c>
      <c r="C66" s="8">
        <v>15</v>
      </c>
      <c r="D66" s="8">
        <v>11</v>
      </c>
      <c r="E66" s="8">
        <v>-13</v>
      </c>
      <c r="F66" s="8">
        <v>-4</v>
      </c>
      <c r="G66" s="8">
        <v>0</v>
      </c>
      <c r="H66" s="8">
        <v>0</v>
      </c>
      <c r="I66" s="8">
        <v>-3</v>
      </c>
      <c r="J66" s="8">
        <v>1</v>
      </c>
      <c r="K66" s="8">
        <v>0</v>
      </c>
      <c r="L66" s="8">
        <v>1</v>
      </c>
    </row>
    <row r="67" spans="2:12" x14ac:dyDescent="0.2">
      <c r="B67" s="8" t="s">
        <v>57</v>
      </c>
      <c r="C67" s="8">
        <v>-78</v>
      </c>
      <c r="D67" s="8">
        <v>-65</v>
      </c>
      <c r="E67" s="8">
        <v>-144</v>
      </c>
      <c r="F67" s="8">
        <v>57</v>
      </c>
      <c r="G67" s="8">
        <v>277</v>
      </c>
      <c r="H67" s="8">
        <v>102</v>
      </c>
      <c r="I67" s="8">
        <v>33</v>
      </c>
      <c r="J67" s="8">
        <v>65</v>
      </c>
      <c r="K67" s="8">
        <v>18</v>
      </c>
      <c r="L67" s="8">
        <v>-23</v>
      </c>
    </row>
    <row r="68" spans="2:12" x14ac:dyDescent="0.2">
      <c r="B68" s="8" t="s">
        <v>72</v>
      </c>
      <c r="C68" s="8">
        <v>64</v>
      </c>
      <c r="D68" s="8">
        <v>16</v>
      </c>
      <c r="E68" s="8">
        <v>23</v>
      </c>
      <c r="F68" s="8">
        <v>-32</v>
      </c>
      <c r="G68" s="8">
        <v>-9</v>
      </c>
      <c r="H68" s="8">
        <v>-32</v>
      </c>
      <c r="I68" s="8">
        <v>-55</v>
      </c>
      <c r="J68" s="8">
        <v>-67</v>
      </c>
      <c r="K68" s="8">
        <v>-153</v>
      </c>
      <c r="L68" s="8">
        <v>-242</v>
      </c>
    </row>
    <row r="69" spans="2:12" x14ac:dyDescent="0.2">
      <c r="B69" s="8" t="s">
        <v>58</v>
      </c>
      <c r="C69" s="8">
        <v>41</v>
      </c>
      <c r="D69" s="8">
        <v>5</v>
      </c>
      <c r="E69" s="8">
        <v>8</v>
      </c>
      <c r="F69" s="8">
        <v>16</v>
      </c>
      <c r="G69" s="8">
        <v>-30</v>
      </c>
      <c r="H69" s="8">
        <v>1</v>
      </c>
      <c r="I69" s="8">
        <v>12</v>
      </c>
      <c r="J69" s="8">
        <v>-32</v>
      </c>
      <c r="K69" s="8">
        <v>-42</v>
      </c>
      <c r="L69" s="8">
        <v>6</v>
      </c>
    </row>
    <row r="70" spans="2:12" x14ac:dyDescent="0.2">
      <c r="B70" s="8" t="s">
        <v>74</v>
      </c>
      <c r="C70" s="8">
        <v>288</v>
      </c>
      <c r="D70" s="8">
        <v>-541</v>
      </c>
      <c r="E70" s="8">
        <v>32</v>
      </c>
      <c r="F70" s="8">
        <v>111</v>
      </c>
      <c r="G70" s="8">
        <v>203</v>
      </c>
      <c r="H70" s="8">
        <v>-447</v>
      </c>
      <c r="I70" s="8">
        <v>5</v>
      </c>
      <c r="J70" s="8">
        <v>59</v>
      </c>
      <c r="K70" s="8">
        <v>91</v>
      </c>
      <c r="L70" s="8">
        <v>-201</v>
      </c>
    </row>
    <row r="71" spans="2:12" x14ac:dyDescent="0.2">
      <c r="B71" s="8" t="s">
        <v>73</v>
      </c>
      <c r="C71" s="8">
        <v>-9</v>
      </c>
      <c r="D71" s="8">
        <v>14</v>
      </c>
      <c r="E71" s="8">
        <v>-2</v>
      </c>
      <c r="F71" s="8">
        <v>-22</v>
      </c>
      <c r="G71" s="8">
        <v>-27</v>
      </c>
      <c r="H71" s="8">
        <v>24</v>
      </c>
      <c r="I71" s="8">
        <v>-96</v>
      </c>
      <c r="J71" s="8">
        <v>-76</v>
      </c>
      <c r="K71" s="8">
        <v>-42</v>
      </c>
      <c r="L71" s="8">
        <v>9</v>
      </c>
    </row>
    <row r="72" spans="2:12" x14ac:dyDescent="0.2">
      <c r="B72" s="8" t="s">
        <v>48</v>
      </c>
      <c r="C72" s="8">
        <v>53</v>
      </c>
      <c r="D72" s="8">
        <v>50</v>
      </c>
      <c r="E72" s="8">
        <v>-11</v>
      </c>
      <c r="F72" s="8">
        <v>48</v>
      </c>
      <c r="G72" s="8">
        <v>-52</v>
      </c>
      <c r="H72" s="8">
        <v>12</v>
      </c>
      <c r="I72" s="8">
        <v>-76</v>
      </c>
      <c r="J72" s="8">
        <v>18</v>
      </c>
      <c r="K72" s="8">
        <v>16</v>
      </c>
      <c r="L72" s="8">
        <v>-4</v>
      </c>
    </row>
    <row r="73" spans="2:12" x14ac:dyDescent="0.2">
      <c r="B73" s="8" t="s">
        <v>60</v>
      </c>
      <c r="C73" s="8">
        <v>-17</v>
      </c>
      <c r="D73" s="8">
        <v>-36</v>
      </c>
      <c r="E73" s="8">
        <v>-23</v>
      </c>
      <c r="F73" s="8">
        <v>6</v>
      </c>
      <c r="G73" s="8">
        <v>-5</v>
      </c>
      <c r="H73" s="8">
        <v>-4</v>
      </c>
      <c r="I73" s="8">
        <v>-13</v>
      </c>
      <c r="J73" s="8">
        <v>-1</v>
      </c>
      <c r="K73" s="8">
        <v>-10</v>
      </c>
      <c r="L73" s="8">
        <v>-11</v>
      </c>
    </row>
    <row r="74" spans="2:12" x14ac:dyDescent="0.2">
      <c r="B74" s="8" t="s">
        <v>46</v>
      </c>
      <c r="C74" s="8">
        <v>75</v>
      </c>
      <c r="D74" s="8">
        <v>20</v>
      </c>
      <c r="E74" s="8">
        <v>-54</v>
      </c>
      <c r="F74" s="8">
        <v>-30</v>
      </c>
      <c r="G74" s="8">
        <v>67</v>
      </c>
      <c r="H74" s="8">
        <v>-58</v>
      </c>
      <c r="I74" s="8">
        <v>-34</v>
      </c>
      <c r="J74" s="8">
        <v>14</v>
      </c>
      <c r="K74" s="8">
        <v>573</v>
      </c>
      <c r="L74" s="8">
        <v>-260</v>
      </c>
    </row>
    <row r="75" spans="2:12" x14ac:dyDescent="0.2">
      <c r="B75" s="8" t="s">
        <v>79</v>
      </c>
      <c r="C75" s="8">
        <f t="shared" ref="C75:J75" si="28">+SUM(C67:C74)</f>
        <v>417</v>
      </c>
      <c r="D75" s="8">
        <f t="shared" si="28"/>
        <v>-537</v>
      </c>
      <c r="E75" s="8">
        <f t="shared" si="28"/>
        <v>-171</v>
      </c>
      <c r="F75" s="8">
        <f t="shared" si="28"/>
        <v>154</v>
      </c>
      <c r="G75" s="8">
        <f t="shared" si="28"/>
        <v>424</v>
      </c>
      <c r="H75" s="8">
        <f t="shared" si="28"/>
        <v>-402</v>
      </c>
      <c r="I75" s="8">
        <f t="shared" si="28"/>
        <v>-224</v>
      </c>
      <c r="J75" s="8">
        <f t="shared" si="28"/>
        <v>-20</v>
      </c>
      <c r="K75" s="8">
        <f t="shared" ref="K75:L75" si="29">+SUM(K67:K74)</f>
        <v>451</v>
      </c>
      <c r="L75" s="8">
        <f t="shared" si="29"/>
        <v>-726</v>
      </c>
    </row>
    <row r="76" spans="2:12" s="9" customFormat="1" x14ac:dyDescent="0.2">
      <c r="B76" s="9" t="s">
        <v>75</v>
      </c>
      <c r="C76" s="9">
        <f t="shared" ref="C76:J76" si="30">+SUM(C60:C66)+C75</f>
        <v>321</v>
      </c>
      <c r="D76" s="9">
        <f t="shared" si="30"/>
        <v>-231</v>
      </c>
      <c r="E76" s="9">
        <f t="shared" si="30"/>
        <v>76</v>
      </c>
      <c r="F76" s="9">
        <f t="shared" si="30"/>
        <v>411</v>
      </c>
      <c r="G76" s="9">
        <f t="shared" si="30"/>
        <v>483</v>
      </c>
      <c r="H76" s="9">
        <f t="shared" si="30"/>
        <v>-114</v>
      </c>
      <c r="I76" s="9">
        <f t="shared" si="30"/>
        <v>227</v>
      </c>
      <c r="J76" s="9">
        <f t="shared" si="30"/>
        <v>310</v>
      </c>
      <c r="K76" s="9">
        <f t="shared" ref="K76:L76" si="31">+SUM(K60:K66)+K75</f>
        <v>667</v>
      </c>
      <c r="L76" s="9">
        <f t="shared" si="31"/>
        <v>-290</v>
      </c>
    </row>
    <row r="78" spans="2:12" s="9" customFormat="1" x14ac:dyDescent="0.2">
      <c r="B78" s="9" t="s">
        <v>76</v>
      </c>
      <c r="C78" s="9">
        <v>-20</v>
      </c>
      <c r="D78" s="9">
        <v>-26</v>
      </c>
      <c r="E78" s="9">
        <v>-34</v>
      </c>
      <c r="F78" s="9">
        <v>-13</v>
      </c>
      <c r="G78" s="9">
        <v>-20</v>
      </c>
      <c r="H78" s="9">
        <v>-26</v>
      </c>
      <c r="I78" s="9">
        <f>-13-34</f>
        <v>-47</v>
      </c>
      <c r="J78" s="9">
        <f>+-30-21</f>
        <v>-51</v>
      </c>
      <c r="K78" s="9">
        <f>-8-11</f>
        <v>-19</v>
      </c>
      <c r="L78" s="9">
        <f>-9-29</f>
        <v>-38</v>
      </c>
    </row>
    <row r="79" spans="2:12" x14ac:dyDescent="0.2">
      <c r="B79" s="8" t="s">
        <v>82</v>
      </c>
      <c r="C79" s="8">
        <f>-280+65-1</f>
        <v>-216</v>
      </c>
      <c r="D79" s="8">
        <f>-225+290-3</f>
        <v>62</v>
      </c>
      <c r="E79" s="8">
        <f>-440+320</f>
        <v>-120</v>
      </c>
      <c r="F79" s="8">
        <f>-320+335-1</f>
        <v>14</v>
      </c>
      <c r="G79" s="8">
        <f>-126+136-11</f>
        <v>-1</v>
      </c>
      <c r="H79" s="8">
        <f>-260+120-11</f>
        <v>-151</v>
      </c>
      <c r="I79" s="8">
        <f>-125+126</f>
        <v>1</v>
      </c>
      <c r="J79" s="8">
        <f>-155+105-21</f>
        <v>-71</v>
      </c>
      <c r="K79" s="8">
        <f>-225+74</f>
        <v>-151</v>
      </c>
      <c r="L79" s="8">
        <f>-50+50-36</f>
        <v>-36</v>
      </c>
    </row>
    <row r="80" spans="2:12" x14ac:dyDescent="0.2">
      <c r="B80" s="8" t="s">
        <v>77</v>
      </c>
      <c r="C80" s="8">
        <f>+C78+C79</f>
        <v>-236</v>
      </c>
      <c r="D80" s="8">
        <f>+D78+D79</f>
        <v>36</v>
      </c>
      <c r="E80" s="8">
        <f>+E78+E79</f>
        <v>-154</v>
      </c>
      <c r="F80" s="8">
        <f>+F78+F79</f>
        <v>1</v>
      </c>
      <c r="G80" s="8">
        <f>+G78+G79</f>
        <v>-21</v>
      </c>
      <c r="H80" s="8">
        <f>+H78+H79</f>
        <v>-177</v>
      </c>
      <c r="I80" s="8">
        <f>+I78+I79</f>
        <v>-46</v>
      </c>
      <c r="J80" s="8">
        <f>+J78+J79</f>
        <v>-122</v>
      </c>
      <c r="K80" s="8">
        <f>+SUM(K78:K79)</f>
        <v>-170</v>
      </c>
      <c r="L80" s="8">
        <f>+SUM(L78:L79)</f>
        <v>-74</v>
      </c>
    </row>
    <row r="82" spans="2:12" x14ac:dyDescent="0.2">
      <c r="B82" s="8" t="s">
        <v>33</v>
      </c>
    </row>
    <row r="83" spans="2:12" x14ac:dyDescent="0.2">
      <c r="B83" s="8" t="s">
        <v>105</v>
      </c>
      <c r="L83" s="8">
        <v>-20</v>
      </c>
    </row>
    <row r="84" spans="2:12" x14ac:dyDescent="0.2">
      <c r="B84" s="8" t="s">
        <v>46</v>
      </c>
      <c r="L84" s="8">
        <v>-4</v>
      </c>
    </row>
    <row r="85" spans="2:12" x14ac:dyDescent="0.2">
      <c r="B85" s="8" t="s">
        <v>106</v>
      </c>
      <c r="L85" s="8">
        <v>-72</v>
      </c>
    </row>
    <row r="86" spans="2:12" x14ac:dyDescent="0.2">
      <c r="B86" s="8" t="s">
        <v>83</v>
      </c>
      <c r="C86" s="8">
        <v>-10</v>
      </c>
      <c r="D86" s="8">
        <v>-11</v>
      </c>
      <c r="E86" s="8">
        <v>-9</v>
      </c>
      <c r="F86" s="8">
        <v>-12</v>
      </c>
      <c r="G86" s="8">
        <v>-10</v>
      </c>
      <c r="H86" s="8">
        <v>-15</v>
      </c>
      <c r="I86" s="8">
        <v>-24</v>
      </c>
      <c r="J86" s="8">
        <v>-48</v>
      </c>
      <c r="K86" s="8">
        <v>-121</v>
      </c>
      <c r="L86" s="8">
        <f>+SUM(L83:L85)</f>
        <v>-96</v>
      </c>
    </row>
    <row r="88" spans="2:12" x14ac:dyDescent="0.2">
      <c r="B88" s="8" t="s">
        <v>80</v>
      </c>
      <c r="C88" s="8">
        <v>-10</v>
      </c>
      <c r="D88" s="8">
        <v>-10</v>
      </c>
      <c r="E88" s="8">
        <v>-11</v>
      </c>
      <c r="F88" s="8">
        <v>11</v>
      </c>
      <c r="G88" s="8">
        <v>1</v>
      </c>
      <c r="H88" s="8">
        <v>0</v>
      </c>
      <c r="I88" s="8">
        <v>1</v>
      </c>
      <c r="J88" s="8">
        <v>6</v>
      </c>
      <c r="K88" s="8">
        <v>-4</v>
      </c>
      <c r="L88" s="8">
        <v>2</v>
      </c>
    </row>
    <row r="89" spans="2:12" x14ac:dyDescent="0.2">
      <c r="B89" s="8" t="s">
        <v>81</v>
      </c>
      <c r="C89" s="8">
        <f>+C76+C80+C86+C88</f>
        <v>65</v>
      </c>
      <c r="D89" s="8">
        <f>+D76+D80+D86+D88</f>
        <v>-216</v>
      </c>
      <c r="E89" s="8">
        <f>+E76+E80+E86+E88</f>
        <v>-98</v>
      </c>
      <c r="F89" s="8">
        <f>+F76+F80+F86+F88</f>
        <v>411</v>
      </c>
      <c r="G89" s="8">
        <f>+G76+G80+G86+G88</f>
        <v>453</v>
      </c>
      <c r="H89" s="8">
        <f>+H76+H80+H86+H88</f>
        <v>-306</v>
      </c>
      <c r="I89" s="8">
        <f>+I76+I80+I86+I88</f>
        <v>158</v>
      </c>
      <c r="J89" s="8">
        <f>+J76+J80+J86+J88</f>
        <v>146</v>
      </c>
      <c r="K89" s="8">
        <f>+K76+K80+K86+K88</f>
        <v>372</v>
      </c>
      <c r="L89" s="8">
        <f>+L76+L80+L86+L88</f>
        <v>-458</v>
      </c>
    </row>
    <row r="90" spans="2:12" x14ac:dyDescent="0.2">
      <c r="B90" s="8" t="s">
        <v>78</v>
      </c>
      <c r="C90" s="8">
        <f>+C76+C78</f>
        <v>301</v>
      </c>
      <c r="D90" s="8">
        <f>+D76+D78</f>
        <v>-257</v>
      </c>
      <c r="E90" s="8">
        <f>+E76+E78</f>
        <v>42</v>
      </c>
      <c r="F90" s="8">
        <f>+F76+F78</f>
        <v>398</v>
      </c>
      <c r="G90" s="8">
        <f>+G76+G78</f>
        <v>463</v>
      </c>
      <c r="H90" s="8">
        <f>+H76+H78</f>
        <v>-140</v>
      </c>
      <c r="I90" s="8">
        <f>+I76+I78</f>
        <v>180</v>
      </c>
      <c r="J90" s="8">
        <f>+J76+J78</f>
        <v>259</v>
      </c>
      <c r="K90" s="8">
        <f>+K76+K78</f>
        <v>648</v>
      </c>
      <c r="L90" s="8">
        <f>+L76+L78</f>
        <v>-328</v>
      </c>
    </row>
    <row r="91" spans="2:12" x14ac:dyDescent="0.2">
      <c r="B91" s="14" t="s">
        <v>93</v>
      </c>
      <c r="F91" s="8">
        <f>+SUM(C90:F90)</f>
        <v>484</v>
      </c>
      <c r="G91" s="8">
        <f>+SUM(D90:G90)</f>
        <v>646</v>
      </c>
      <c r="H91" s="8">
        <f>+SUM(E90:H90)</f>
        <v>763</v>
      </c>
      <c r="I91" s="8">
        <f t="shared" ref="I91:L91" si="32">+SUM(F90:I90)</f>
        <v>901</v>
      </c>
      <c r="J91" s="8">
        <f t="shared" si="32"/>
        <v>762</v>
      </c>
      <c r="K91" s="8">
        <f t="shared" si="32"/>
        <v>947</v>
      </c>
      <c r="L91" s="8">
        <f>+SUM(I90:L90)</f>
        <v>759</v>
      </c>
    </row>
    <row r="93" spans="2:12" x14ac:dyDescent="0.2">
      <c r="B93" s="8" t="s">
        <v>84</v>
      </c>
      <c r="C93" s="8">
        <f t="shared" ref="C93:J93" si="33">+C76+C78-C64</f>
        <v>302</v>
      </c>
      <c r="D93" s="8">
        <f t="shared" si="33"/>
        <v>-270</v>
      </c>
      <c r="E93" s="8">
        <f t="shared" si="33"/>
        <v>8</v>
      </c>
      <c r="F93" s="8">
        <f t="shared" si="33"/>
        <v>360</v>
      </c>
      <c r="G93" s="8">
        <f t="shared" si="33"/>
        <v>412</v>
      </c>
      <c r="H93" s="8">
        <f t="shared" si="33"/>
        <v>-280</v>
      </c>
      <c r="I93" s="8">
        <f t="shared" si="33"/>
        <v>-333</v>
      </c>
      <c r="J93" s="8">
        <f t="shared" si="33"/>
        <v>60</v>
      </c>
      <c r="K93" s="8">
        <f t="shared" ref="K93:L93" si="34">+K76+K78-K64</f>
        <v>463</v>
      </c>
      <c r="L93" s="8">
        <f t="shared" si="34"/>
        <v>-510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893F0-529C-420A-9386-005B4158C6B1}">
  <dimension ref="A1:H16"/>
  <sheetViews>
    <sheetView workbookViewId="0">
      <selection activeCell="F6" sqref="F6"/>
    </sheetView>
  </sheetViews>
  <sheetFormatPr defaultRowHeight="12.75" x14ac:dyDescent="0.2"/>
  <cols>
    <col min="1" max="1" width="34.42578125" bestFit="1" customWidth="1"/>
    <col min="5" max="6" width="9.140625" style="6"/>
  </cols>
  <sheetData>
    <row r="1" spans="1:8" ht="34.5" x14ac:dyDescent="0.45">
      <c r="A1" s="1" t="s">
        <v>0</v>
      </c>
    </row>
    <row r="2" spans="1:8" x14ac:dyDescent="0.2">
      <c r="A2" t="s">
        <v>1</v>
      </c>
      <c r="B2" s="2" t="s">
        <v>25</v>
      </c>
      <c r="E2" s="7" t="s">
        <v>26</v>
      </c>
      <c r="H2" s="2"/>
    </row>
    <row r="3" spans="1:8" x14ac:dyDescent="0.2">
      <c r="A3" t="s">
        <v>23</v>
      </c>
      <c r="B3">
        <v>2020</v>
      </c>
      <c r="C3">
        <v>2022</v>
      </c>
      <c r="E3">
        <v>2020</v>
      </c>
      <c r="F3">
        <v>2022</v>
      </c>
    </row>
    <row r="4" spans="1:8" x14ac:dyDescent="0.2">
      <c r="A4" s="2" t="s">
        <v>11</v>
      </c>
    </row>
    <row r="5" spans="1:8" x14ac:dyDescent="0.2">
      <c r="A5" s="4" t="s">
        <v>12</v>
      </c>
      <c r="B5">
        <v>22</v>
      </c>
      <c r="C5">
        <v>30</v>
      </c>
      <c r="E5" s="6">
        <v>0.99</v>
      </c>
      <c r="F5" s="6">
        <v>0.99</v>
      </c>
    </row>
    <row r="6" spans="1:8" x14ac:dyDescent="0.2">
      <c r="A6" s="4" t="s">
        <v>13</v>
      </c>
      <c r="B6">
        <v>14</v>
      </c>
      <c r="C6">
        <v>18</v>
      </c>
      <c r="E6" s="6">
        <v>0.69</v>
      </c>
      <c r="F6" s="6">
        <v>0.64</v>
      </c>
    </row>
    <row r="7" spans="1:8" x14ac:dyDescent="0.2">
      <c r="A7" s="4" t="s">
        <v>24</v>
      </c>
      <c r="B7">
        <v>46</v>
      </c>
      <c r="C7">
        <v>47</v>
      </c>
      <c r="E7" s="6">
        <v>0.25</v>
      </c>
      <c r="F7" s="6">
        <v>0.32</v>
      </c>
    </row>
    <row r="8" spans="1:8" x14ac:dyDescent="0.2">
      <c r="A8" s="2" t="s">
        <v>14</v>
      </c>
    </row>
    <row r="9" spans="1:8" x14ac:dyDescent="0.2">
      <c r="A9" s="4" t="s">
        <v>15</v>
      </c>
      <c r="B9">
        <v>14</v>
      </c>
      <c r="C9">
        <v>18</v>
      </c>
      <c r="E9" s="6">
        <v>7.0000000000000007E-2</v>
      </c>
      <c r="F9" s="6">
        <v>0.1</v>
      </c>
    </row>
    <row r="10" spans="1:8" x14ac:dyDescent="0.2">
      <c r="A10" s="4" t="s">
        <v>16</v>
      </c>
      <c r="B10">
        <v>16</v>
      </c>
      <c r="C10">
        <v>17</v>
      </c>
      <c r="E10" s="6">
        <v>0.19</v>
      </c>
      <c r="F10" s="6">
        <v>0.26</v>
      </c>
    </row>
    <row r="11" spans="1:8" x14ac:dyDescent="0.2">
      <c r="A11" s="4" t="s">
        <v>17</v>
      </c>
      <c r="B11">
        <v>11</v>
      </c>
      <c r="C11">
        <v>13</v>
      </c>
      <c r="E11" s="6">
        <v>0.09</v>
      </c>
      <c r="F11" s="6">
        <v>0.16</v>
      </c>
    </row>
    <row r="12" spans="1:8" x14ac:dyDescent="0.2">
      <c r="A12" s="2" t="s">
        <v>18</v>
      </c>
    </row>
    <row r="13" spans="1:8" x14ac:dyDescent="0.2">
      <c r="A13" s="4" t="s">
        <v>19</v>
      </c>
      <c r="B13">
        <v>11</v>
      </c>
      <c r="C13">
        <v>19</v>
      </c>
      <c r="E13" s="6">
        <v>0.33</v>
      </c>
      <c r="F13" s="6">
        <v>0.41</v>
      </c>
    </row>
    <row r="14" spans="1:8" x14ac:dyDescent="0.2">
      <c r="A14" s="2" t="s">
        <v>20</v>
      </c>
    </row>
    <row r="15" spans="1:8" x14ac:dyDescent="0.2">
      <c r="A15" s="4" t="s">
        <v>21</v>
      </c>
      <c r="B15">
        <v>31</v>
      </c>
      <c r="C15">
        <v>42</v>
      </c>
      <c r="E15" s="6">
        <v>0.57999999999999996</v>
      </c>
      <c r="F15" s="6">
        <v>0.65</v>
      </c>
    </row>
    <row r="16" spans="1:8" s="2" customFormat="1" x14ac:dyDescent="0.2">
      <c r="A16" s="5" t="s">
        <v>22</v>
      </c>
      <c r="B16" s="2">
        <f>SUM(B5:B15)</f>
        <v>165</v>
      </c>
      <c r="C16" s="2">
        <f>SUM(C5:C15)</f>
        <v>204</v>
      </c>
      <c r="E16" s="7">
        <v>0.42</v>
      </c>
      <c r="F16" s="7">
        <v>0.49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Segments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2024-04-27T07:18:16Z</dcterms:created>
  <dcterms:modified xsi:type="dcterms:W3CDTF">2024-08-01T18:46:39Z</dcterms:modified>
</cp:coreProperties>
</file>