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"/>
    </mc:Choice>
  </mc:AlternateContent>
  <xr:revisionPtr revIDLastSave="0" documentId="13_ncr:1_{A298132B-BA27-45CB-AD93-CCA70F98EF24}" xr6:coauthVersionLast="47" xr6:coauthVersionMax="47" xr10:uidLastSave="{00000000-0000-0000-0000-000000000000}"/>
  <bookViews>
    <workbookView xWindow="2730" yWindow="900" windowWidth="14070" windowHeight="15300" tabRatio="601" activeTab="1" xr2:uid="{B0BD6475-6011-461C-9468-878C70E7540D}"/>
  </bookViews>
  <sheets>
    <sheet name="Main" sheetId="8" r:id="rId1"/>
    <sheet name="Airliners" sheetId="4" r:id="rId2"/>
    <sheet name="Compare" sheetId="1" r:id="rId3"/>
  </sheets>
  <externalReferences>
    <externalReference r:id="rId4"/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4" l="1"/>
  <c r="H6" i="4"/>
  <c r="D6" i="4"/>
  <c r="E6" i="4" s="1"/>
  <c r="N5" i="4"/>
  <c r="M5" i="4"/>
  <c r="H5" i="4"/>
  <c r="E5" i="4" s="1"/>
  <c r="G6" i="4" l="1"/>
  <c r="F5" i="4"/>
  <c r="G5" i="4" s="1"/>
  <c r="U5" i="4" l="1"/>
  <c r="P5" i="4" s="1"/>
  <c r="O5" i="4"/>
  <c r="U4" i="4"/>
  <c r="G48" i="1" l="1"/>
  <c r="V5" i="4" l="1"/>
  <c r="Q5" i="4" s="1"/>
  <c r="W5" i="4" l="1"/>
  <c r="R5" i="4" s="1"/>
  <c r="X5" i="4" l="1"/>
  <c r="S5" i="4" s="1"/>
  <c r="J43" i="1"/>
  <c r="AD5" i="4" l="1"/>
  <c r="X12" i="4" s="1"/>
  <c r="N4" i="4"/>
  <c r="M4" i="4"/>
  <c r="H4" i="4"/>
  <c r="D4" i="4"/>
  <c r="W3" i="4"/>
  <c r="X3" i="4" s="1"/>
  <c r="Y3" i="4" s="1"/>
  <c r="Z3" i="4" s="1"/>
  <c r="Y5" i="4" l="1"/>
  <c r="T5" i="4" s="1"/>
  <c r="E4" i="4"/>
  <c r="S45" i="1" l="1"/>
  <c r="S43" i="1"/>
  <c r="P43" i="1"/>
  <c r="G44" i="1"/>
  <c r="M42" i="1"/>
  <c r="J42" i="1"/>
  <c r="J44" i="1" s="1"/>
  <c r="S41" i="1"/>
  <c r="S44" i="1" s="1"/>
  <c r="P41" i="1"/>
  <c r="P44" i="1" s="1"/>
  <c r="M41" i="1"/>
  <c r="M44" i="1" s="1"/>
  <c r="J41" i="1"/>
  <c r="G41" i="1"/>
  <c r="P36" i="1"/>
  <c r="O36" i="1"/>
  <c r="N36" i="1"/>
  <c r="M36" i="1"/>
  <c r="L36" i="1"/>
  <c r="K36" i="1"/>
  <c r="J36" i="1"/>
  <c r="R36" i="1" s="1"/>
  <c r="I36" i="1"/>
  <c r="H36" i="1"/>
  <c r="G36" i="1"/>
  <c r="P35" i="1"/>
  <c r="O35" i="1"/>
  <c r="N35" i="1"/>
  <c r="M35" i="1"/>
  <c r="L35" i="1"/>
  <c r="K35" i="1"/>
  <c r="R35" i="1" s="1"/>
  <c r="J35" i="1"/>
  <c r="I35" i="1"/>
  <c r="H35" i="1"/>
  <c r="G35" i="1"/>
  <c r="P34" i="1"/>
  <c r="O34" i="1"/>
  <c r="N34" i="1"/>
  <c r="M34" i="1"/>
  <c r="L34" i="1"/>
  <c r="K34" i="1"/>
  <c r="J34" i="1"/>
  <c r="R34" i="1" s="1"/>
  <c r="I34" i="1"/>
  <c r="H34" i="1"/>
  <c r="G34" i="1"/>
  <c r="R33" i="1"/>
  <c r="P33" i="1"/>
  <c r="O33" i="1"/>
  <c r="N33" i="1"/>
  <c r="M33" i="1"/>
  <c r="L33" i="1"/>
  <c r="K33" i="1"/>
  <c r="J33" i="1"/>
  <c r="I33" i="1"/>
  <c r="H33" i="1"/>
  <c r="G33" i="1"/>
  <c r="P32" i="1"/>
  <c r="O32" i="1"/>
  <c r="N32" i="1"/>
  <c r="M32" i="1"/>
  <c r="L32" i="1"/>
  <c r="K32" i="1"/>
  <c r="J32" i="1"/>
  <c r="I32" i="1"/>
  <c r="H32" i="1"/>
  <c r="R32" i="1" s="1"/>
  <c r="G32" i="1"/>
  <c r="H31" i="1"/>
  <c r="I31" i="1" s="1"/>
  <c r="J31" i="1" s="1"/>
  <c r="K31" i="1" s="1"/>
  <c r="L31" i="1" s="1"/>
  <c r="M31" i="1" s="1"/>
  <c r="N31" i="1" s="1"/>
  <c r="O31" i="1" s="1"/>
  <c r="P31" i="1" s="1"/>
  <c r="R29" i="1"/>
  <c r="R28" i="1"/>
  <c r="R27" i="1"/>
  <c r="R26" i="1"/>
  <c r="R25" i="1"/>
  <c r="I24" i="1"/>
  <c r="J24" i="1" s="1"/>
  <c r="K24" i="1" s="1"/>
  <c r="L24" i="1" s="1"/>
  <c r="M24" i="1" s="1"/>
  <c r="N24" i="1" s="1"/>
  <c r="O24" i="1" s="1"/>
  <c r="P24" i="1" s="1"/>
  <c r="H24" i="1"/>
  <c r="R22" i="1"/>
  <c r="R21" i="1"/>
  <c r="R20" i="1"/>
  <c r="R19" i="1"/>
  <c r="R18" i="1"/>
  <c r="H17" i="1"/>
  <c r="I17" i="1" s="1"/>
  <c r="J17" i="1" s="1"/>
  <c r="K17" i="1" s="1"/>
  <c r="L17" i="1" s="1"/>
  <c r="M17" i="1" s="1"/>
  <c r="N17" i="1" s="1"/>
  <c r="O17" i="1" s="1"/>
  <c r="P17" i="1" s="1"/>
  <c r="R15" i="1"/>
  <c r="S48" i="1" s="1"/>
  <c r="R14" i="1"/>
  <c r="P45" i="1" s="1"/>
  <c r="R13" i="1"/>
  <c r="M45" i="1" s="1"/>
  <c r="R12" i="1"/>
  <c r="J45" i="1" s="1"/>
  <c r="R11" i="1"/>
  <c r="G45" i="1" s="1"/>
  <c r="H10" i="1"/>
  <c r="I10" i="1" s="1"/>
  <c r="J10" i="1" s="1"/>
  <c r="K10" i="1" s="1"/>
  <c r="L10" i="1" s="1"/>
  <c r="M10" i="1" s="1"/>
  <c r="N10" i="1" s="1"/>
  <c r="O10" i="1" s="1"/>
  <c r="P10" i="1" s="1"/>
  <c r="AA8" i="1"/>
  <c r="X8" i="1"/>
  <c r="V8" i="1"/>
  <c r="T8" i="1"/>
  <c r="R8" i="1"/>
  <c r="P8" i="1"/>
  <c r="N8" i="1"/>
  <c r="L8" i="1"/>
  <c r="J8" i="1"/>
  <c r="H8" i="1"/>
  <c r="AA7" i="1"/>
  <c r="X7" i="1"/>
  <c r="V7" i="1"/>
  <c r="T7" i="1"/>
  <c r="R7" i="1"/>
  <c r="P7" i="1"/>
  <c r="N7" i="1"/>
  <c r="L7" i="1"/>
  <c r="J7" i="1"/>
  <c r="H7" i="1"/>
  <c r="AA6" i="1"/>
  <c r="X6" i="1"/>
  <c r="V6" i="1"/>
  <c r="T6" i="1"/>
  <c r="R6" i="1"/>
  <c r="P6" i="1"/>
  <c r="N6" i="1"/>
  <c r="L6" i="1"/>
  <c r="J6" i="1"/>
  <c r="H6" i="1"/>
  <c r="AA5" i="1"/>
  <c r="X5" i="1"/>
  <c r="V5" i="1"/>
  <c r="T5" i="1"/>
  <c r="R5" i="1"/>
  <c r="P5" i="1"/>
  <c r="N5" i="1"/>
  <c r="L5" i="1"/>
  <c r="J5" i="1"/>
  <c r="H5" i="1"/>
  <c r="AA4" i="1"/>
  <c r="X4" i="1"/>
  <c r="V4" i="1"/>
  <c r="T4" i="1"/>
  <c r="R4" i="1"/>
  <c r="P4" i="1"/>
  <c r="N4" i="1"/>
  <c r="L4" i="1"/>
  <c r="J4" i="1"/>
  <c r="H4" i="1"/>
  <c r="K3" i="1"/>
  <c r="M3" i="1" s="1"/>
  <c r="O3" i="1" s="1"/>
  <c r="Q3" i="1" s="1"/>
  <c r="S3" i="1" s="1"/>
  <c r="U3" i="1" s="1"/>
  <c r="W3" i="1" s="1"/>
  <c r="Y3" i="1" s="1"/>
  <c r="I3" i="1"/>
  <c r="AC4" i="4" l="1"/>
  <c r="M46" i="1"/>
  <c r="P46" i="1"/>
  <c r="S46" i="1"/>
  <c r="S49" i="1"/>
  <c r="J46" i="1"/>
  <c r="G46" i="1"/>
  <c r="G49" i="1"/>
  <c r="J48" i="1"/>
  <c r="J49" i="1" s="1"/>
  <c r="M48" i="1"/>
  <c r="M49" i="1" s="1"/>
  <c r="P48" i="1"/>
  <c r="P49" i="1" s="1"/>
  <c r="Z5" i="4" l="1"/>
  <c r="F4" i="4"/>
  <c r="G4" i="4" s="1"/>
  <c r="P4" i="4" l="1"/>
  <c r="O4" i="4" l="1"/>
  <c r="K5" i="4" l="1"/>
  <c r="L5" i="4"/>
  <c r="AD4" i="4"/>
  <c r="X11" i="4" s="1"/>
  <c r="V4" i="4" l="1"/>
  <c r="Q4" i="4" s="1"/>
  <c r="W4" i="4" l="1"/>
  <c r="R4" i="4" s="1"/>
  <c r="X4" i="4" l="1"/>
  <c r="S4" i="4" s="1"/>
  <c r="Y4" i="4" l="1"/>
  <c r="T4" i="4" s="1"/>
  <c r="Z4" i="4" l="1"/>
  <c r="K4" i="4" l="1"/>
  <c r="L4" i="4"/>
</calcChain>
</file>

<file path=xl/sharedStrings.xml><?xml version="1.0" encoding="utf-8"?>
<sst xmlns="http://schemas.openxmlformats.org/spreadsheetml/2006/main" count="186" uniqueCount="102">
  <si>
    <t>Revenue</t>
  </si>
  <si>
    <t>y/y %</t>
  </si>
  <si>
    <t>CAGR</t>
  </si>
  <si>
    <t>Jetblue</t>
  </si>
  <si>
    <t>=(Y4/G4)^(1/10)-1</t>
  </si>
  <si>
    <t>SouthAirlines</t>
  </si>
  <si>
    <t>Ryan Air</t>
  </si>
  <si>
    <t>Net income</t>
  </si>
  <si>
    <t>=AVERAGE</t>
  </si>
  <si>
    <t>CFFO</t>
  </si>
  <si>
    <t>CapEx</t>
  </si>
  <si>
    <t>FCF</t>
  </si>
  <si>
    <t>Jet Blue</t>
  </si>
  <si>
    <t>Price</t>
  </si>
  <si>
    <t>S/O</t>
  </si>
  <si>
    <t>MC</t>
  </si>
  <si>
    <t>Cash</t>
  </si>
  <si>
    <t>Debt</t>
  </si>
  <si>
    <t>EV</t>
  </si>
  <si>
    <t>avg NI</t>
  </si>
  <si>
    <t>YEARS TO MAKE YOUR MONEY BACK</t>
  </si>
  <si>
    <t>avg NI*CAGR^10</t>
  </si>
  <si>
    <t>(=+R11*1,05^10)</t>
  </si>
  <si>
    <t>Q224</t>
  </si>
  <si>
    <t>Salaries</t>
  </si>
  <si>
    <t>D&amp;A</t>
  </si>
  <si>
    <t>Maintenance</t>
  </si>
  <si>
    <t>Other</t>
  </si>
  <si>
    <t>N/A</t>
  </si>
  <si>
    <t>Net cash</t>
  </si>
  <si>
    <t>JetBlue</t>
  </si>
  <si>
    <t>NPV</t>
  </si>
  <si>
    <t>Upside</t>
  </si>
  <si>
    <t>Name</t>
  </si>
  <si>
    <t>Ticker</t>
  </si>
  <si>
    <t>Updated</t>
  </si>
  <si>
    <t>Last</t>
  </si>
  <si>
    <t>Discount</t>
  </si>
  <si>
    <t>Terminal</t>
  </si>
  <si>
    <t>EV/E TTM</t>
  </si>
  <si>
    <t>EV/E 24</t>
  </si>
  <si>
    <t>EV/E25</t>
  </si>
  <si>
    <t>EV/E26</t>
  </si>
  <si>
    <t>EV/E27</t>
  </si>
  <si>
    <t>TTM</t>
  </si>
  <si>
    <t>2024 RevG</t>
  </si>
  <si>
    <t>GM%</t>
  </si>
  <si>
    <t>OM%</t>
  </si>
  <si>
    <t>2024 R</t>
  </si>
  <si>
    <t>JBLU</t>
  </si>
  <si>
    <t>LUV</t>
  </si>
  <si>
    <t>RYAI</t>
  </si>
  <si>
    <t>AF</t>
  </si>
  <si>
    <t>EZJ</t>
  </si>
  <si>
    <t>Air France KLM</t>
  </si>
  <si>
    <t>EasyJet</t>
  </si>
  <si>
    <t>TBR</t>
  </si>
  <si>
    <t>Fuel</t>
  </si>
  <si>
    <t>Landing fees &amp;rentals</t>
  </si>
  <si>
    <t>RPC (000s)</t>
  </si>
  <si>
    <t>Enplaned passengers (000s)</t>
  </si>
  <si>
    <t>Load factor</t>
  </si>
  <si>
    <t>RPMs (in millions)</t>
  </si>
  <si>
    <t>ASMs (in millions)</t>
  </si>
  <si>
    <t>Enplaned passengers</t>
  </si>
  <si>
    <t>Trips flown</t>
  </si>
  <si>
    <t>Seats flown</t>
  </si>
  <si>
    <t>Seats per trip</t>
  </si>
  <si>
    <t>Avg passenger fare</t>
  </si>
  <si>
    <t>Passenger revenue yield per RPM</t>
  </si>
  <si>
    <t>RASM</t>
  </si>
  <si>
    <t>PRASM</t>
  </si>
  <si>
    <t>CASM</t>
  </si>
  <si>
    <t>CASM excl fuel and oil</t>
  </si>
  <si>
    <t>Fuel cost per gallon, incl fuel tax (unhedged)</t>
  </si>
  <si>
    <t>Employees</t>
  </si>
  <si>
    <t>Aircraft at end of period</t>
  </si>
  <si>
    <t>Avg lenght of passenger haul (miles)</t>
  </si>
  <si>
    <t>Avg aircraft stage lenght (miles)</t>
  </si>
  <si>
    <t>Seats flown (000s)</t>
  </si>
  <si>
    <t>Fuel consumed, in gallons (in millions)</t>
  </si>
  <si>
    <t>Key Metrics</t>
  </si>
  <si>
    <t>Key Metrics Transportation</t>
  </si>
  <si>
    <t>Revenue paasengers carried</t>
  </si>
  <si>
    <t>Revenue passenger miles (RPMs)</t>
  </si>
  <si>
    <t>Available seat miles (ASMs)</t>
  </si>
  <si>
    <t>Average lenght of passenger haul</t>
  </si>
  <si>
    <t>Average aircraft stage lenght</t>
  </si>
  <si>
    <t>Average passenger fare</t>
  </si>
  <si>
    <t>RASM (Revenue per Average Seat Mile)</t>
  </si>
  <si>
    <t>PRAMS (Passenger per Average Seat Mile)</t>
  </si>
  <si>
    <t>CASM (Cost per Available Seat Mile)</t>
  </si>
  <si>
    <t>Fuel cost per gallon</t>
  </si>
  <si>
    <t>Fuel consumed</t>
  </si>
  <si>
    <t>Active fulltime equivalent employees</t>
  </si>
  <si>
    <t>Aircraft flood</t>
  </si>
  <si>
    <t>Fuel efficiency</t>
  </si>
  <si>
    <t>ASMs per gallon (fuel efficiency)</t>
  </si>
  <si>
    <t>Expenses (compounded growth rate)</t>
  </si>
  <si>
    <t>Founded</t>
  </si>
  <si>
    <t>Rev per Aircraft</t>
  </si>
  <si>
    <t>Q125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</si>
</sst>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\x"/>
    <numFmt numFmtId="166" formatCode="d/mm/yy;@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i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9" fontId="0" fillId="0" borderId="0" xfId="0" applyNumberFormat="1"/>
    <xf numFmtId="4" fontId="0" fillId="0" borderId="0" xfId="0" applyNumberFormat="1"/>
    <xf numFmtId="9" fontId="0" fillId="0" borderId="0" xfId="0" applyNumberFormat="1" applyAlignment="1">
      <alignment horizontal="right"/>
    </xf>
    <xf numFmtId="164" fontId="0" fillId="0" borderId="0" xfId="0" applyNumberFormat="1"/>
    <xf numFmtId="3" fontId="1" fillId="0" borderId="1" xfId="0" applyNumberFormat="1" applyFont="1" applyBorder="1"/>
    <xf numFmtId="0" fontId="0" fillId="0" borderId="2" xfId="0" applyBorder="1"/>
    <xf numFmtId="3" fontId="3" fillId="0" borderId="2" xfId="0" applyNumberFormat="1" applyFont="1" applyBorder="1" applyAlignment="1">
      <alignment horizontal="center"/>
    </xf>
    <xf numFmtId="3" fontId="0" fillId="0" borderId="2" xfId="0" applyNumberFormat="1" applyBorder="1"/>
    <xf numFmtId="3" fontId="0" fillId="0" borderId="3" xfId="0" applyNumberFormat="1" applyBorder="1" applyAlignment="1">
      <alignment horizontal="right"/>
    </xf>
    <xf numFmtId="3" fontId="0" fillId="0" borderId="4" xfId="0" applyNumberFormat="1" applyBorder="1"/>
    <xf numFmtId="9" fontId="0" fillId="0" borderId="0" xfId="0" applyNumberFormat="1" applyAlignment="1">
      <alignment horizontal="center"/>
    </xf>
    <xf numFmtId="9" fontId="0" fillId="0" borderId="5" xfId="0" applyNumberFormat="1" applyBorder="1"/>
    <xf numFmtId="49" fontId="0" fillId="0" borderId="0" xfId="0" applyNumberFormat="1"/>
    <xf numFmtId="9" fontId="0" fillId="0" borderId="6" xfId="0" applyNumberFormat="1" applyBorder="1"/>
    <xf numFmtId="3" fontId="0" fillId="0" borderId="2" xfId="0" quotePrefix="1" applyNumberFormat="1" applyBorder="1"/>
    <xf numFmtId="3" fontId="0" fillId="0" borderId="7" xfId="0" applyNumberFormat="1" applyBorder="1"/>
    <xf numFmtId="3" fontId="1" fillId="2" borderId="0" xfId="0" applyNumberFormat="1" applyFont="1" applyFill="1"/>
    <xf numFmtId="3" fontId="0" fillId="2" borderId="0" xfId="0" applyNumberFormat="1" applyFill="1"/>
    <xf numFmtId="3" fontId="1" fillId="4" borderId="4" xfId="0" applyNumberFormat="1" applyFont="1" applyFill="1" applyBorder="1"/>
    <xf numFmtId="3" fontId="0" fillId="3" borderId="0" xfId="0" applyNumberFormat="1" applyFill="1"/>
    <xf numFmtId="165" fontId="3" fillId="0" borderId="0" xfId="0" applyNumberFormat="1" applyFont="1"/>
    <xf numFmtId="165" fontId="0" fillId="0" borderId="0" xfId="0" applyNumberFormat="1"/>
    <xf numFmtId="165" fontId="0" fillId="3" borderId="0" xfId="0" applyNumberFormat="1" applyFill="1"/>
    <xf numFmtId="3" fontId="0" fillId="0" borderId="8" xfId="0" applyNumberFormat="1" applyBorder="1"/>
    <xf numFmtId="3" fontId="0" fillId="0" borderId="9" xfId="0" applyNumberFormat="1" applyBorder="1"/>
    <xf numFmtId="3" fontId="0" fillId="0" borderId="9" xfId="0" quotePrefix="1" applyNumberFormat="1" applyBorder="1"/>
    <xf numFmtId="3" fontId="0" fillId="3" borderId="9" xfId="0" applyNumberFormat="1" applyFill="1" applyBorder="1"/>
    <xf numFmtId="3" fontId="0" fillId="0" borderId="10" xfId="0" applyNumberFormat="1" applyBorder="1"/>
    <xf numFmtId="165" fontId="3" fillId="0" borderId="11" xfId="0" applyNumberFormat="1" applyFont="1" applyBorder="1"/>
    <xf numFmtId="165" fontId="0" fillId="0" borderId="12" xfId="0" applyNumberFormat="1" applyBorder="1"/>
    <xf numFmtId="165" fontId="3" fillId="0" borderId="12" xfId="0" applyNumberFormat="1" applyFont="1" applyBorder="1"/>
    <xf numFmtId="165" fontId="0" fillId="3" borderId="12" xfId="0" applyNumberFormat="1" applyFill="1" applyBorder="1"/>
    <xf numFmtId="165" fontId="0" fillId="0" borderId="13" xfId="0" applyNumberFormat="1" applyBorder="1"/>
    <xf numFmtId="3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3" fontId="2" fillId="0" borderId="0" xfId="1" applyNumberFormat="1"/>
    <xf numFmtId="4" fontId="0" fillId="0" borderId="0" xfId="0" applyNumberFormat="1" applyAlignment="1">
      <alignment horizontal="right"/>
    </xf>
    <xf numFmtId="0" fontId="1" fillId="0" borderId="0" xfId="0" applyFont="1"/>
    <xf numFmtId="3" fontId="2" fillId="0" borderId="4" xfId="1" applyNumberFormat="1" applyBorder="1"/>
    <xf numFmtId="3" fontId="2" fillId="2" borderId="0" xfId="1" applyNumberFormat="1" applyFill="1"/>
    <xf numFmtId="3" fontId="2" fillId="4" borderId="4" xfId="1" applyNumberFormat="1" applyFill="1" applyBorder="1"/>
    <xf numFmtId="2" fontId="0" fillId="0" borderId="0" xfId="0" applyNumberFormat="1"/>
    <xf numFmtId="0" fontId="1" fillId="0" borderId="0" xfId="0" applyFont="1" applyAlignment="1">
      <alignment horizontal="left"/>
    </xf>
    <xf numFmtId="3" fontId="2" fillId="0" borderId="0" xfId="1" applyNumberFormat="1" applyBorder="1"/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left"/>
    </xf>
    <xf numFmtId="166" fontId="1" fillId="0" borderId="0" xfId="0" applyNumberFormat="1" applyFont="1" applyAlignment="1">
      <alignment horizontal="left"/>
    </xf>
    <xf numFmtId="9" fontId="1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9" fontId="2" fillId="0" borderId="0" xfId="1" applyNumberFormat="1"/>
    <xf numFmtId="9" fontId="2" fillId="0" borderId="0" xfId="1" applyNumberFormat="1" applyBorder="1"/>
    <xf numFmtId="9" fontId="0" fillId="3" borderId="0" xfId="0" applyNumberFormat="1" applyFill="1" applyAlignment="1">
      <alignment horizontal="right"/>
    </xf>
    <xf numFmtId="4" fontId="1" fillId="0" borderId="0" xfId="0" applyNumberFormat="1" applyFont="1" applyAlignment="1">
      <alignment horizontal="left"/>
    </xf>
    <xf numFmtId="14" fontId="1" fillId="0" borderId="0" xfId="0" applyNumberFormat="1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nni\Desktop\CompanyResearchModels\JBLU.xlsx" TargetMode="External"/><Relationship Id="rId1" Type="http://schemas.openxmlformats.org/officeDocument/2006/relationships/externalLinkPath" Target="JBLU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nni\Desktop\CompanyResearchModels\LUV.xlsx" TargetMode="External"/><Relationship Id="rId1" Type="http://schemas.openxmlformats.org/officeDocument/2006/relationships/externalLinkPath" Target="LUV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nni\Desktop\CompanyResearchModels\RYAI.xlsx" TargetMode="External"/><Relationship Id="rId1" Type="http://schemas.openxmlformats.org/officeDocument/2006/relationships/externalLinkPath" Target="RYA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Main(JBLU)"/>
    </sheet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(LUV)"/>
      <sheetName val="Model(LUV"/>
    </sheetNames>
    <sheetDataSet>
      <sheetData sheetId="0">
        <row r="4">
          <cell r="N4">
            <v>599.15701899999999</v>
          </cell>
        </row>
      </sheetData>
      <sheetData sheetId="1">
        <row r="27">
          <cell r="AE27">
            <v>27698.400000000001</v>
          </cell>
        </row>
        <row r="39">
          <cell r="M39">
            <v>166</v>
          </cell>
          <cell r="N39">
            <v>-278</v>
          </cell>
          <cell r="O39">
            <v>-250</v>
          </cell>
          <cell r="P39">
            <v>354</v>
          </cell>
          <cell r="AE39">
            <v>526.86000000000593</v>
          </cell>
          <cell r="AF39">
            <v>650.15325000000109</v>
          </cell>
          <cell r="AG39">
            <v>778.05843525000114</v>
          </cell>
          <cell r="AH39">
            <v>910.43364090375508</v>
          </cell>
          <cell r="AI39">
            <v>1047.0999394197547</v>
          </cell>
        </row>
        <row r="44">
          <cell r="AR44">
            <v>-0.01</v>
          </cell>
        </row>
        <row r="45">
          <cell r="AR45">
            <v>0.08</v>
          </cell>
        </row>
        <row r="47">
          <cell r="AR47">
            <v>17004.395036130303</v>
          </cell>
        </row>
        <row r="52">
          <cell r="AR52">
            <v>0.10629600286260676</v>
          </cell>
        </row>
        <row r="55">
          <cell r="P55">
            <v>2006</v>
          </cell>
        </row>
        <row r="78">
          <cell r="P78">
            <v>-3.2532227237607256E-4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L2">
            <v>16.52</v>
          </cell>
        </row>
        <row r="3">
          <cell r="L3">
            <v>1144.5999999999999</v>
          </cell>
        </row>
        <row r="5">
          <cell r="L5">
            <v>4487.5999999999995</v>
          </cell>
        </row>
        <row r="6">
          <cell r="L6">
            <v>2578.6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RYAI.xlsx" TargetMode="External"/><Relationship Id="rId1" Type="http://schemas.openxmlformats.org/officeDocument/2006/relationships/hyperlink" Target="LUV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048B7-E6C6-4CD8-A8CE-487D44BE01FD}">
  <dimension ref="B2:B22"/>
  <sheetViews>
    <sheetView workbookViewId="0">
      <selection activeCell="B18" sqref="B18"/>
    </sheetView>
  </sheetViews>
  <sheetFormatPr defaultRowHeight="12.75" x14ac:dyDescent="0.2"/>
  <cols>
    <col min="1" max="1" width="2.7109375" customWidth="1"/>
  </cols>
  <sheetData>
    <row r="2" spans="2:2" x14ac:dyDescent="0.2">
      <c r="B2" s="41" t="s">
        <v>82</v>
      </c>
    </row>
    <row r="3" spans="2:2" x14ac:dyDescent="0.2">
      <c r="B3" t="s">
        <v>83</v>
      </c>
    </row>
    <row r="4" spans="2:2" x14ac:dyDescent="0.2">
      <c r="B4" t="s">
        <v>64</v>
      </c>
    </row>
    <row r="5" spans="2:2" x14ac:dyDescent="0.2">
      <c r="B5" t="s">
        <v>84</v>
      </c>
    </row>
    <row r="6" spans="2:2" x14ac:dyDescent="0.2">
      <c r="B6" t="s">
        <v>85</v>
      </c>
    </row>
    <row r="7" spans="2:2" x14ac:dyDescent="0.2">
      <c r="B7" t="s">
        <v>61</v>
      </c>
    </row>
    <row r="8" spans="2:2" x14ac:dyDescent="0.2">
      <c r="B8" t="s">
        <v>86</v>
      </c>
    </row>
    <row r="9" spans="2:2" x14ac:dyDescent="0.2">
      <c r="B9" t="s">
        <v>87</v>
      </c>
    </row>
    <row r="10" spans="2:2" x14ac:dyDescent="0.2">
      <c r="B10" t="s">
        <v>65</v>
      </c>
    </row>
    <row r="11" spans="2:2" x14ac:dyDescent="0.2">
      <c r="B11" t="s">
        <v>66</v>
      </c>
    </row>
    <row r="12" spans="2:2" x14ac:dyDescent="0.2">
      <c r="B12" t="s">
        <v>67</v>
      </c>
    </row>
    <row r="13" spans="2:2" x14ac:dyDescent="0.2">
      <c r="B13" t="s">
        <v>88</v>
      </c>
    </row>
    <row r="14" spans="2:2" x14ac:dyDescent="0.2">
      <c r="B14" t="s">
        <v>69</v>
      </c>
    </row>
    <row r="15" spans="2:2" x14ac:dyDescent="0.2">
      <c r="B15" t="s">
        <v>89</v>
      </c>
    </row>
    <row r="16" spans="2:2" x14ac:dyDescent="0.2">
      <c r="B16" t="s">
        <v>90</v>
      </c>
    </row>
    <row r="17" spans="2:2" x14ac:dyDescent="0.2">
      <c r="B17" t="s">
        <v>91</v>
      </c>
    </row>
    <row r="18" spans="2:2" x14ac:dyDescent="0.2">
      <c r="B18" t="s">
        <v>97</v>
      </c>
    </row>
    <row r="19" spans="2:2" x14ac:dyDescent="0.2">
      <c r="B19" t="s">
        <v>92</v>
      </c>
    </row>
    <row r="20" spans="2:2" x14ac:dyDescent="0.2">
      <c r="B20" t="s">
        <v>93</v>
      </c>
    </row>
    <row r="21" spans="2:2" x14ac:dyDescent="0.2">
      <c r="B21" t="s">
        <v>94</v>
      </c>
    </row>
    <row r="22" spans="2:2" x14ac:dyDescent="0.2">
      <c r="B22" t="s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2192B-CAB4-4489-B336-49B52630F70D}">
  <dimension ref="B3:AF27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5" sqref="B5"/>
    </sheetView>
  </sheetViews>
  <sheetFormatPr defaultRowHeight="12.75" x14ac:dyDescent="0.2"/>
  <cols>
    <col min="1" max="1" width="2.85546875" style="2" customWidth="1"/>
    <col min="2" max="2" width="17.42578125" style="2" customWidth="1"/>
    <col min="3" max="3" width="10.5703125" style="36" bestFit="1" customWidth="1"/>
    <col min="4" max="4" width="9.28515625" style="40" customWidth="1"/>
    <col min="5" max="5" width="9.140625" style="36"/>
    <col min="6" max="6" width="11" style="36" customWidth="1"/>
    <col min="7" max="8" width="9.140625" style="36"/>
    <col min="9" max="9" width="9.140625" style="38"/>
    <col min="10" max="11" width="9.140625" style="36"/>
    <col min="12" max="15" width="9.140625" style="5"/>
    <col min="16" max="16" width="10.42578125" style="37" bestFit="1" customWidth="1"/>
    <col min="17" max="20" width="9.140625" style="37"/>
    <col min="21" max="21" width="9.140625" style="36"/>
    <col min="22" max="22" width="9.140625" style="37"/>
    <col min="23" max="26" width="9.140625" style="36"/>
    <col min="27" max="27" width="10.42578125" style="36" bestFit="1" customWidth="1"/>
    <col min="28" max="28" width="10" style="5" bestFit="1" customWidth="1"/>
    <col min="29" max="29" width="9.140625" style="36"/>
    <col min="30" max="30" width="9.140625" style="5"/>
    <col min="31" max="31" width="9.140625" style="36"/>
    <col min="33" max="16384" width="9.140625" style="2"/>
  </cols>
  <sheetData>
    <row r="3" spans="2:31" s="41" customFormat="1" x14ac:dyDescent="0.2">
      <c r="B3" s="46" t="s">
        <v>33</v>
      </c>
      <c r="C3" s="46" t="s">
        <v>34</v>
      </c>
      <c r="D3" s="56" t="s">
        <v>13</v>
      </c>
      <c r="E3" s="49" t="s">
        <v>15</v>
      </c>
      <c r="F3" s="49" t="s">
        <v>29</v>
      </c>
      <c r="G3" s="49" t="s">
        <v>18</v>
      </c>
      <c r="H3" s="49" t="s">
        <v>14</v>
      </c>
      <c r="I3" s="50" t="s">
        <v>35</v>
      </c>
      <c r="J3" s="57" t="s">
        <v>36</v>
      </c>
      <c r="K3" s="46" t="s">
        <v>31</v>
      </c>
      <c r="L3" s="51" t="s">
        <v>32</v>
      </c>
      <c r="M3" s="51" t="s">
        <v>37</v>
      </c>
      <c r="N3" s="51" t="s">
        <v>38</v>
      </c>
      <c r="O3" s="51" t="s">
        <v>56</v>
      </c>
      <c r="P3" s="52" t="s">
        <v>39</v>
      </c>
      <c r="Q3" s="52" t="s">
        <v>40</v>
      </c>
      <c r="R3" s="52" t="s">
        <v>41</v>
      </c>
      <c r="S3" s="52" t="s">
        <v>42</v>
      </c>
      <c r="T3" s="52" t="s">
        <v>43</v>
      </c>
      <c r="U3" s="49" t="s">
        <v>44</v>
      </c>
      <c r="V3" s="46">
        <v>2024</v>
      </c>
      <c r="W3" s="46">
        <f>+V3+1</f>
        <v>2025</v>
      </c>
      <c r="X3" s="46">
        <f t="shared" ref="X3:Z3" si="0">+W3+1</f>
        <v>2026</v>
      </c>
      <c r="Y3" s="46">
        <f t="shared" si="0"/>
        <v>2027</v>
      </c>
      <c r="Z3" s="46">
        <f t="shared" si="0"/>
        <v>2028</v>
      </c>
      <c r="AA3" s="51" t="s">
        <v>45</v>
      </c>
      <c r="AB3" s="51" t="s">
        <v>46</v>
      </c>
      <c r="AC3" s="51" t="s">
        <v>47</v>
      </c>
      <c r="AD3" s="46" t="s">
        <v>48</v>
      </c>
      <c r="AE3" s="46" t="s">
        <v>99</v>
      </c>
    </row>
    <row r="4" spans="2:31" x14ac:dyDescent="0.2">
      <c r="B4" s="39" t="s">
        <v>30</v>
      </c>
      <c r="C4" s="36" t="s">
        <v>49</v>
      </c>
      <c r="D4" s="40">
        <f>+[1]Sheet1!N3</f>
        <v>0</v>
      </c>
      <c r="E4" s="36">
        <f>+D4*H4</f>
        <v>0</v>
      </c>
      <c r="F4" s="36">
        <f>+[1]Sheet1!P35</f>
        <v>0</v>
      </c>
      <c r="G4" s="36">
        <f>+E4-F4</f>
        <v>0</v>
      </c>
      <c r="H4" s="36">
        <f>+[1]Sheet1!N4</f>
        <v>0</v>
      </c>
      <c r="I4" s="38">
        <v>45556</v>
      </c>
      <c r="J4" s="36" t="s">
        <v>23</v>
      </c>
      <c r="K4" s="36">
        <f>+[1]Sheet1!AR28</f>
        <v>0</v>
      </c>
      <c r="L4" s="5">
        <f>+[1]Sheet1!AR33</f>
        <v>0</v>
      </c>
      <c r="M4" s="5">
        <f>+[1]Sheet1!AR26</f>
        <v>0</v>
      </c>
      <c r="N4" s="5">
        <f>+[1]Sheet1!AR25</f>
        <v>0</v>
      </c>
      <c r="O4" s="5">
        <f>+[1]Sheet1!P61</f>
        <v>0</v>
      </c>
      <c r="P4" s="37" t="e">
        <f>+$G$4/U4</f>
        <v>#DIV/0!</v>
      </c>
      <c r="Q4" s="37" t="e">
        <f>+$G$4/V4</f>
        <v>#DIV/0!</v>
      </c>
      <c r="R4" s="37" t="e">
        <f>+$G$4/W4</f>
        <v>#DIV/0!</v>
      </c>
      <c r="S4" s="37" t="e">
        <f>+$G$4/X4</f>
        <v>#DIV/0!</v>
      </c>
      <c r="T4" s="37" t="e">
        <f t="shared" ref="T4" si="1">+$G$4/Y4</f>
        <v>#DIV/0!</v>
      </c>
      <c r="U4" s="36">
        <f>+SUM([1]Sheet1!M21:P21)</f>
        <v>0</v>
      </c>
      <c r="V4" s="36">
        <f>+[1]Sheet1!AE21</f>
        <v>0</v>
      </c>
      <c r="W4" s="36">
        <f>+[1]Sheet1!AF21</f>
        <v>0</v>
      </c>
      <c r="X4" s="36">
        <f>+[1]Sheet1!AG21</f>
        <v>0</v>
      </c>
      <c r="Y4" s="36">
        <f>+[1]Sheet1!AH21</f>
        <v>0</v>
      </c>
      <c r="Z4" s="36">
        <f>+[1]Sheet1!AI21</f>
        <v>0</v>
      </c>
      <c r="AA4" s="5">
        <v>0.05</v>
      </c>
      <c r="AB4" s="36" t="s">
        <v>28</v>
      </c>
      <c r="AC4" s="5">
        <f>+[1]Sheet1!AD25</f>
        <v>0</v>
      </c>
      <c r="AD4" s="36">
        <f>+[1]Sheet1!AE6</f>
        <v>0</v>
      </c>
      <c r="AE4" s="1">
        <v>1998</v>
      </c>
    </row>
    <row r="5" spans="2:31" x14ac:dyDescent="0.2">
      <c r="B5" s="42" t="s">
        <v>5</v>
      </c>
      <c r="C5" s="36" t="s">
        <v>50</v>
      </c>
      <c r="D5" s="40">
        <v>29.04</v>
      </c>
      <c r="E5" s="36">
        <f>+D5*H5</f>
        <v>17399.519831760001</v>
      </c>
      <c r="F5" s="36">
        <f>+'[2]Model(LUV'!P55</f>
        <v>2006</v>
      </c>
      <c r="G5" s="36">
        <f>+E5-F5</f>
        <v>15393.519831760001</v>
      </c>
      <c r="H5" s="36">
        <f>+'[2]Main(LUV)'!N4</f>
        <v>599.15701899999999</v>
      </c>
      <c r="I5" s="38">
        <v>45556</v>
      </c>
      <c r="J5" s="36" t="s">
        <v>23</v>
      </c>
      <c r="K5" s="36">
        <f>+'[2]Model(LUV'!AR47</f>
        <v>17004.395036130303</v>
      </c>
      <c r="L5" s="5">
        <f>+'[2]Model(LUV'!AR52</f>
        <v>0.10629600286260676</v>
      </c>
      <c r="M5" s="5">
        <f>+'[2]Model(LUV'!AR45</f>
        <v>0.08</v>
      </c>
      <c r="N5" s="5">
        <f>+'[2]Model(LUV'!AR44</f>
        <v>-0.01</v>
      </c>
      <c r="O5" s="5">
        <f>+'[2]Model(LUV'!P78</f>
        <v>-3.2532227237607256E-4</v>
      </c>
      <c r="P5" s="37">
        <f>+$G$5/U5</f>
        <v>-1924.1899789700001</v>
      </c>
      <c r="Q5" s="37">
        <f>+$G$5/V5</f>
        <v>29.217476809322832</v>
      </c>
      <c r="R5" s="37">
        <f t="shared" ref="R5:T5" si="2">+$G$5/W5</f>
        <v>23.6767559521697</v>
      </c>
      <c r="S5" s="37">
        <f t="shared" si="2"/>
        <v>19.784529200321369</v>
      </c>
      <c r="T5" s="37">
        <f t="shared" si="2"/>
        <v>16.907898764021287</v>
      </c>
      <c r="U5" s="36">
        <f>+SUM('[2]Model(LUV'!M39:P39)</f>
        <v>-8</v>
      </c>
      <c r="V5" s="36">
        <f>+'[2]Model(LUV'!AE39</f>
        <v>526.86000000000593</v>
      </c>
      <c r="W5" s="36">
        <f>+'[2]Model(LUV'!AF39</f>
        <v>650.15325000000109</v>
      </c>
      <c r="X5" s="36">
        <f>+'[2]Model(LUV'!AG39</f>
        <v>778.05843525000114</v>
      </c>
      <c r="Y5" s="36">
        <f>+'[2]Model(LUV'!AH39</f>
        <v>910.43364090375508</v>
      </c>
      <c r="Z5" s="36">
        <f>+'[2]Model(LUV'!AI39</f>
        <v>1047.0999394197547</v>
      </c>
      <c r="AA5" s="5">
        <v>0.05</v>
      </c>
      <c r="AB5" s="36" t="s">
        <v>28</v>
      </c>
      <c r="AC5" s="5">
        <v>0.01</v>
      </c>
      <c r="AD5" s="36">
        <f>+'[2]Model(LUV'!AE27</f>
        <v>27698.400000000001</v>
      </c>
      <c r="AE5">
        <v>1971</v>
      </c>
    </row>
    <row r="6" spans="2:31" x14ac:dyDescent="0.2">
      <c r="B6" s="42" t="s">
        <v>6</v>
      </c>
      <c r="C6" s="36" t="s">
        <v>51</v>
      </c>
      <c r="D6" s="40">
        <f>+[3]Main!$L$2</f>
        <v>16.52</v>
      </c>
      <c r="E6" s="36">
        <f>+D6*H6</f>
        <v>18908.791999999998</v>
      </c>
      <c r="F6" s="36">
        <f>+[3]Main!$L$5-[3]Main!$L$6</f>
        <v>1908.9999999999995</v>
      </c>
      <c r="G6" s="36">
        <f>+E6-F6</f>
        <v>16999.791999999998</v>
      </c>
      <c r="H6" s="36">
        <f>+[3]Main!$L$3</f>
        <v>1144.5999999999999</v>
      </c>
      <c r="I6" s="38">
        <v>45557</v>
      </c>
      <c r="J6" s="36" t="s">
        <v>101</v>
      </c>
      <c r="AE6" s="5"/>
    </row>
    <row r="7" spans="2:31" x14ac:dyDescent="0.2">
      <c r="B7" s="12" t="s">
        <v>54</v>
      </c>
      <c r="C7" s="36" t="s">
        <v>52</v>
      </c>
    </row>
    <row r="8" spans="2:31" x14ac:dyDescent="0.2">
      <c r="B8" s="12" t="s">
        <v>55</v>
      </c>
      <c r="C8" s="36" t="s">
        <v>53</v>
      </c>
    </row>
    <row r="10" spans="2:31" s="46" customFormat="1" x14ac:dyDescent="0.2">
      <c r="B10" s="41" t="s">
        <v>81</v>
      </c>
      <c r="C10" s="46" t="s">
        <v>59</v>
      </c>
      <c r="D10" s="46" t="s">
        <v>60</v>
      </c>
      <c r="E10" s="46" t="s">
        <v>62</v>
      </c>
      <c r="F10" s="46" t="s">
        <v>63</v>
      </c>
      <c r="G10" s="46" t="s">
        <v>61</v>
      </c>
      <c r="H10" s="46" t="s">
        <v>77</v>
      </c>
      <c r="I10" s="46" t="s">
        <v>78</v>
      </c>
      <c r="J10" s="46" t="s">
        <v>65</v>
      </c>
      <c r="K10" s="46" t="s">
        <v>79</v>
      </c>
      <c r="L10" s="46" t="s">
        <v>67</v>
      </c>
      <c r="M10" s="46" t="s">
        <v>68</v>
      </c>
      <c r="N10" s="46" t="s">
        <v>69</v>
      </c>
      <c r="O10" s="46" t="s">
        <v>70</v>
      </c>
      <c r="P10" s="46" t="s">
        <v>71</v>
      </c>
      <c r="Q10" s="46" t="s">
        <v>72</v>
      </c>
      <c r="R10" s="46" t="s">
        <v>73</v>
      </c>
      <c r="S10" s="46" t="s">
        <v>96</v>
      </c>
      <c r="T10" s="46" t="s">
        <v>74</v>
      </c>
      <c r="U10" s="49" t="s">
        <v>80</v>
      </c>
      <c r="V10" s="46" t="s">
        <v>75</v>
      </c>
      <c r="W10" s="46" t="s">
        <v>95</v>
      </c>
      <c r="X10" s="46" t="s">
        <v>100</v>
      </c>
      <c r="Y10" s="48"/>
    </row>
    <row r="11" spans="2:31" x14ac:dyDescent="0.2">
      <c r="B11" s="39" t="s">
        <v>30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>
        <v>282</v>
      </c>
      <c r="X11" s="2">
        <f>+AD4/W11</f>
        <v>0</v>
      </c>
    </row>
    <row r="12" spans="2:31" x14ac:dyDescent="0.2">
      <c r="B12" s="47" t="s">
        <v>5</v>
      </c>
      <c r="W12" s="36">
        <v>817</v>
      </c>
      <c r="X12" s="2">
        <f>+AD5/W12</f>
        <v>33.902570379436966</v>
      </c>
    </row>
    <row r="13" spans="2:31" x14ac:dyDescent="0.2">
      <c r="B13" s="2" t="s">
        <v>6</v>
      </c>
    </row>
    <row r="14" spans="2:31" x14ac:dyDescent="0.2">
      <c r="B14" s="2" t="s">
        <v>54</v>
      </c>
    </row>
    <row r="15" spans="2:31" x14ac:dyDescent="0.2">
      <c r="B15" s="2" t="s">
        <v>55</v>
      </c>
    </row>
    <row r="17" spans="2:32" s="49" customFormat="1" x14ac:dyDescent="0.2">
      <c r="B17" s="49" t="s">
        <v>98</v>
      </c>
      <c r="C17" s="49" t="s">
        <v>24</v>
      </c>
      <c r="D17" s="49" t="s">
        <v>57</v>
      </c>
      <c r="E17" s="49" t="s">
        <v>26</v>
      </c>
      <c r="F17" s="49" t="s">
        <v>58</v>
      </c>
      <c r="G17" s="49" t="s">
        <v>25</v>
      </c>
      <c r="H17" s="49" t="s">
        <v>27</v>
      </c>
      <c r="I17" s="50"/>
      <c r="L17" s="51"/>
      <c r="M17" s="51"/>
      <c r="N17" s="51"/>
      <c r="O17" s="51"/>
      <c r="P17" s="52"/>
      <c r="Q17" s="52"/>
      <c r="R17" s="52"/>
      <c r="S17" s="52"/>
      <c r="T17" s="52"/>
      <c r="V17" s="52"/>
      <c r="AB17" s="51"/>
      <c r="AD17" s="51"/>
      <c r="AF17" s="46"/>
    </row>
    <row r="18" spans="2:32" s="3" customFormat="1" x14ac:dyDescent="0.2">
      <c r="B18" s="53" t="s">
        <v>30</v>
      </c>
      <c r="C18" s="55">
        <v>0.05</v>
      </c>
      <c r="D18" s="5">
        <v>0.04</v>
      </c>
      <c r="E18" s="5">
        <v>0.05</v>
      </c>
      <c r="F18" s="5">
        <v>7.0000000000000007E-2</v>
      </c>
      <c r="G18" s="55">
        <v>0.05</v>
      </c>
      <c r="H18" s="55">
        <v>0.05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36"/>
      <c r="V18" s="5"/>
      <c r="W18" s="5"/>
      <c r="X18" s="5"/>
      <c r="Y18" s="5"/>
      <c r="Z18" s="5"/>
      <c r="AA18" s="5"/>
      <c r="AB18" s="5"/>
      <c r="AC18" s="5"/>
      <c r="AD18" s="5"/>
      <c r="AE18" s="5"/>
      <c r="AF18"/>
    </row>
    <row r="19" spans="2:32" s="3" customFormat="1" x14ac:dyDescent="0.2">
      <c r="B19" s="54" t="s">
        <v>5</v>
      </c>
      <c r="C19" s="55">
        <v>0.05</v>
      </c>
      <c r="D19" s="5">
        <v>0.02</v>
      </c>
      <c r="E19" s="5">
        <v>0.02</v>
      </c>
      <c r="F19" s="5">
        <v>0.02</v>
      </c>
      <c r="G19" s="5">
        <v>0.05</v>
      </c>
      <c r="H19" s="55">
        <v>0.05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36"/>
      <c r="V19" s="5"/>
      <c r="W19" s="5"/>
      <c r="X19" s="5"/>
      <c r="Y19" s="5"/>
      <c r="Z19" s="5"/>
      <c r="AA19" s="5"/>
      <c r="AB19" s="5"/>
      <c r="AC19" s="5"/>
      <c r="AD19" s="5"/>
      <c r="AE19" s="5"/>
      <c r="AF19"/>
    </row>
    <row r="20" spans="2:32" s="3" customFormat="1" x14ac:dyDescent="0.2">
      <c r="B20" s="3" t="s">
        <v>6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36"/>
      <c r="V20" s="5"/>
      <c r="W20" s="5"/>
      <c r="X20" s="5"/>
      <c r="Y20" s="5"/>
      <c r="Z20" s="5"/>
      <c r="AA20" s="5"/>
      <c r="AB20" s="5"/>
      <c r="AC20" s="5"/>
      <c r="AD20" s="5"/>
      <c r="AE20" s="5"/>
      <c r="AF20"/>
    </row>
    <row r="21" spans="2:32" s="3" customFormat="1" x14ac:dyDescent="0.2">
      <c r="B21" s="3" t="s">
        <v>54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36"/>
      <c r="V21" s="5"/>
      <c r="W21" s="5"/>
      <c r="X21" s="5"/>
      <c r="Y21" s="5"/>
      <c r="Z21" s="5"/>
      <c r="AA21" s="5"/>
      <c r="AB21" s="5"/>
      <c r="AC21" s="5"/>
      <c r="AD21" s="5"/>
      <c r="AE21" s="5"/>
      <c r="AF21"/>
    </row>
    <row r="22" spans="2:32" s="3" customFormat="1" x14ac:dyDescent="0.2">
      <c r="B22" s="3" t="s">
        <v>55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36"/>
      <c r="V22" s="5"/>
      <c r="W22" s="5"/>
      <c r="X22" s="5"/>
      <c r="Y22" s="5"/>
      <c r="Z22" s="5"/>
      <c r="AA22" s="5"/>
      <c r="AB22" s="5"/>
      <c r="AC22" s="5"/>
      <c r="AD22" s="5"/>
      <c r="AE22" s="5"/>
      <c r="AF22"/>
    </row>
    <row r="23" spans="2:32" x14ac:dyDescent="0.2">
      <c r="B23" s="45"/>
    </row>
    <row r="24" spans="2:32" x14ac:dyDescent="0.2">
      <c r="B24" s="45"/>
    </row>
    <row r="25" spans="2:32" x14ac:dyDescent="0.2">
      <c r="B25" s="45"/>
    </row>
    <row r="26" spans="2:32" x14ac:dyDescent="0.2">
      <c r="B26" s="45"/>
    </row>
    <row r="27" spans="2:32" x14ac:dyDescent="0.2">
      <c r="B27" s="45"/>
    </row>
  </sheetData>
  <hyperlinks>
    <hyperlink ref="B4" location="'Model(JBLU)'!A1" display="JetBlue" xr:uid="{3469AB61-048C-481F-9081-549E9D734D19}"/>
    <hyperlink ref="B5" r:id="rId1" xr:uid="{ADA6BC50-E122-42B8-8A5D-B7F689A0E70C}"/>
    <hyperlink ref="B11" location="'Model(JBLU)'!A1" display="JetBlue" xr:uid="{104638D8-2914-4222-955A-D62EDB9AE19A}"/>
    <hyperlink ref="B12" location="'Model(LUV'!A1" display="SouthAirlines" xr:uid="{95ECA569-A0C2-4032-9B50-1BFD50CBDF8C}"/>
    <hyperlink ref="B18" location="'Model(JBLU)'!A1" display="JetBlue" xr:uid="{A5BE8E36-13B9-436B-961B-8ED547C3F5F2}"/>
    <hyperlink ref="B19" location="'Model(LUV'!A1" display="SouthAirlines" xr:uid="{E1E560A6-7BA3-4FBC-8BF4-D14E7A92AEE4}"/>
    <hyperlink ref="B6" r:id="rId2" xr:uid="{0FE0C771-B3DC-4253-B6D7-536E61966BF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0F544-57EC-4930-80FA-0382B7A2E93D}">
  <dimension ref="B2:AD49"/>
  <sheetViews>
    <sheetView topLeftCell="A9" workbookViewId="0">
      <selection activeCell="Z24" sqref="Z24"/>
    </sheetView>
  </sheetViews>
  <sheetFormatPr defaultRowHeight="12.75" x14ac:dyDescent="0.2"/>
  <cols>
    <col min="6" max="6" width="15.42578125" bestFit="1" customWidth="1"/>
  </cols>
  <sheetData>
    <row r="2" spans="2:30" ht="13.5" thickBot="1" x14ac:dyDescent="0.2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2:30" x14ac:dyDescent="0.2">
      <c r="B3" s="2"/>
      <c r="C3" s="2"/>
      <c r="D3" s="2"/>
      <c r="E3" s="2"/>
      <c r="F3" s="7" t="s">
        <v>0</v>
      </c>
      <c r="G3" s="8">
        <v>2014</v>
      </c>
      <c r="H3" s="9" t="s">
        <v>1</v>
      </c>
      <c r="I3" s="8">
        <f>+G3+1</f>
        <v>2015</v>
      </c>
      <c r="J3" s="9" t="s">
        <v>1</v>
      </c>
      <c r="K3" s="8">
        <f>+I3+1</f>
        <v>2016</v>
      </c>
      <c r="L3" s="9" t="s">
        <v>1</v>
      </c>
      <c r="M3" s="8">
        <f>+K3+1</f>
        <v>2017</v>
      </c>
      <c r="N3" s="9" t="s">
        <v>1</v>
      </c>
      <c r="O3" s="8">
        <f>+M3+1</f>
        <v>2018</v>
      </c>
      <c r="P3" s="9" t="s">
        <v>1</v>
      </c>
      <c r="Q3" s="8">
        <f>+O3+1</f>
        <v>2019</v>
      </c>
      <c r="R3" s="9" t="s">
        <v>1</v>
      </c>
      <c r="S3" s="8">
        <f>+Q3+1</f>
        <v>2020</v>
      </c>
      <c r="T3" s="9" t="s">
        <v>1</v>
      </c>
      <c r="U3" s="8">
        <f>+S3+1</f>
        <v>2021</v>
      </c>
      <c r="V3" s="9" t="s">
        <v>1</v>
      </c>
      <c r="W3" s="8">
        <f>+U3+1</f>
        <v>2022</v>
      </c>
      <c r="X3" s="9" t="s">
        <v>1</v>
      </c>
      <c r="Y3" s="8">
        <f>+W3+1</f>
        <v>2023</v>
      </c>
      <c r="Z3" s="10"/>
      <c r="AA3" s="11" t="s">
        <v>2</v>
      </c>
      <c r="AB3" s="2"/>
      <c r="AC3" s="2"/>
      <c r="AD3" s="2"/>
    </row>
    <row r="4" spans="2:30" x14ac:dyDescent="0.2">
      <c r="B4" s="2"/>
      <c r="C4" s="2"/>
      <c r="D4" s="2"/>
      <c r="E4" s="2"/>
      <c r="F4" s="12" t="s">
        <v>3</v>
      </c>
      <c r="G4" s="2">
        <v>5817</v>
      </c>
      <c r="H4" s="13">
        <f>+I4/G4-1</f>
        <v>0.10297404160220047</v>
      </c>
      <c r="I4" s="2">
        <v>6416</v>
      </c>
      <c r="J4" s="13">
        <f>+K4/I4-1</f>
        <v>2.6184538653366562E-2</v>
      </c>
      <c r="K4" s="2">
        <v>6584</v>
      </c>
      <c r="L4" s="13">
        <f>+M4/K4-1</f>
        <v>6.5006075334143487E-2</v>
      </c>
      <c r="M4" s="2">
        <v>7012</v>
      </c>
      <c r="N4" s="13">
        <f>+O4/M4-1</f>
        <v>9.2127780946948068E-2</v>
      </c>
      <c r="O4" s="2">
        <v>7658</v>
      </c>
      <c r="P4" s="13">
        <f>+Q4/O4-1</f>
        <v>5.6933925306868582E-2</v>
      </c>
      <c r="Q4" s="2">
        <v>8094</v>
      </c>
      <c r="R4" s="13">
        <f>+S4/Q4-1</f>
        <v>-0.63466765505312583</v>
      </c>
      <c r="S4" s="2">
        <v>2957</v>
      </c>
      <c r="T4" s="13">
        <f>+U4/S4-1</f>
        <v>1.0415962123774096</v>
      </c>
      <c r="U4" s="2">
        <v>6037</v>
      </c>
      <c r="V4" s="13">
        <f>+W4/U4-1</f>
        <v>0.51697863177074699</v>
      </c>
      <c r="W4" s="2">
        <v>9158</v>
      </c>
      <c r="X4" s="13">
        <f>+Y4/W4-1</f>
        <v>4.9901725267525565E-2</v>
      </c>
      <c r="Y4" s="2">
        <v>9615</v>
      </c>
      <c r="Z4" s="2"/>
      <c r="AA4" s="14">
        <f>(Y4/G4)^(1/10)-1</f>
        <v>5.1538123087076837E-2</v>
      </c>
      <c r="AB4" s="2"/>
      <c r="AC4" s="15" t="s">
        <v>4</v>
      </c>
      <c r="AD4" s="2"/>
    </row>
    <row r="5" spans="2:30" x14ac:dyDescent="0.2">
      <c r="B5" s="2"/>
      <c r="C5" s="2"/>
      <c r="D5" s="2"/>
      <c r="E5" s="2"/>
      <c r="F5" s="12" t="s">
        <v>5</v>
      </c>
      <c r="G5" s="2">
        <v>18605</v>
      </c>
      <c r="H5" s="13">
        <f>+I5/G5-1</f>
        <v>6.5305025530771221E-2</v>
      </c>
      <c r="I5" s="2">
        <v>19820</v>
      </c>
      <c r="J5" s="13">
        <f>+K5/I5-1</f>
        <v>3.0524722502522694E-2</v>
      </c>
      <c r="K5" s="2">
        <v>20425</v>
      </c>
      <c r="L5" s="3">
        <f>+M5/K5-1</f>
        <v>3.6523867809057586E-2</v>
      </c>
      <c r="M5" s="2">
        <v>21171</v>
      </c>
      <c r="N5" s="13">
        <f>+O5/M5-1</f>
        <v>3.7504133012139285E-2</v>
      </c>
      <c r="O5" s="2">
        <v>21965</v>
      </c>
      <c r="P5" s="13">
        <f>+Q5/O5-1</f>
        <v>2.1078989301160922E-2</v>
      </c>
      <c r="Q5" s="2">
        <v>22428</v>
      </c>
      <c r="R5" s="13">
        <f>+S5/Q5-1</f>
        <v>-0.59657570893525946</v>
      </c>
      <c r="S5" s="2">
        <v>9048</v>
      </c>
      <c r="T5" s="13">
        <f>+U5/S5-1</f>
        <v>0.74513704686118487</v>
      </c>
      <c r="U5" s="2">
        <v>15790</v>
      </c>
      <c r="V5" s="13">
        <f>+W5/U5-1</f>
        <v>0.5081697276757442</v>
      </c>
      <c r="W5" s="2">
        <v>23814</v>
      </c>
      <c r="X5" s="13">
        <f>+Y5/W5-1</f>
        <v>9.5616024187452853E-2</v>
      </c>
      <c r="Y5" s="2">
        <v>26091</v>
      </c>
      <c r="Z5" s="2"/>
      <c r="AA5" s="14">
        <f>(Y5/G5)^(1/10)-1</f>
        <v>3.4394267445773119E-2</v>
      </c>
      <c r="AB5" s="2"/>
      <c r="AC5" s="2"/>
      <c r="AD5" s="2"/>
    </row>
    <row r="6" spans="2:30" x14ac:dyDescent="0.2">
      <c r="B6" s="2"/>
      <c r="C6" s="2"/>
      <c r="D6" s="2"/>
      <c r="E6" s="2"/>
      <c r="F6" s="12" t="s">
        <v>6</v>
      </c>
      <c r="G6" s="2">
        <v>5654</v>
      </c>
      <c r="H6" s="13">
        <f t="shared" ref="H6:H8" si="0">+I6/G6-1</f>
        <v>0.15596038203042095</v>
      </c>
      <c r="I6" s="2">
        <v>6535.8</v>
      </c>
      <c r="J6" s="13">
        <f t="shared" ref="J6:J8" si="1">+K6/I6-1</f>
        <v>1.7136387282352672E-2</v>
      </c>
      <c r="K6" s="2">
        <v>6647.8</v>
      </c>
      <c r="L6" s="13">
        <f t="shared" ref="L6:L8" si="2">+M6/K6-1</f>
        <v>7.5694214627395562E-2</v>
      </c>
      <c r="M6" s="2">
        <v>7151</v>
      </c>
      <c r="N6" s="13">
        <f t="shared" ref="N6:N8" si="3">+O6/M6-1</f>
        <v>7.6408893860998361E-2</v>
      </c>
      <c r="O6" s="2">
        <v>7697.4</v>
      </c>
      <c r="P6" s="13">
        <f t="shared" ref="P6:P8" si="4">+Q6/O6-1</f>
        <v>0.10359342115519521</v>
      </c>
      <c r="Q6" s="2">
        <v>8494.7999999999993</v>
      </c>
      <c r="R6" s="13">
        <f t="shared" ref="R6:R8" si="5">+S6/Q6-1</f>
        <v>-0.80743513678956536</v>
      </c>
      <c r="S6" s="2">
        <v>1635.8</v>
      </c>
      <c r="T6" s="13">
        <f t="shared" ref="T6:T8" si="6">+U6/S6-1</f>
        <v>1.9348942413497983</v>
      </c>
      <c r="U6" s="2">
        <v>4800.8999999999996</v>
      </c>
      <c r="V6" s="13">
        <f t="shared" ref="V6:V8" si="7">+W6/U6-1</f>
        <v>1.244412505988461</v>
      </c>
      <c r="W6" s="2">
        <v>10775.2</v>
      </c>
      <c r="X6" s="13">
        <f t="shared" ref="X6:X8" si="8">+Y6/W6-1</f>
        <v>0.24766129631004508</v>
      </c>
      <c r="Y6" s="2">
        <v>13443.8</v>
      </c>
      <c r="Z6" s="2"/>
      <c r="AA6" s="14">
        <f>(Y6/G6)^(1/10)-1</f>
        <v>9.0477285924221329E-2</v>
      </c>
      <c r="AB6" s="2"/>
      <c r="AC6" s="2"/>
      <c r="AD6" s="2"/>
    </row>
    <row r="7" spans="2:30" x14ac:dyDescent="0.2">
      <c r="B7" s="2"/>
      <c r="C7" s="2"/>
      <c r="D7" s="2"/>
      <c r="E7" s="2"/>
      <c r="F7" s="12" t="s">
        <v>54</v>
      </c>
      <c r="G7" s="2">
        <v>24930</v>
      </c>
      <c r="H7" s="13">
        <f t="shared" si="0"/>
        <v>4.5407139991977541E-2</v>
      </c>
      <c r="I7" s="2">
        <v>26062</v>
      </c>
      <c r="J7" s="13">
        <f t="shared" si="1"/>
        <v>-4.6657969457447601E-2</v>
      </c>
      <c r="K7" s="2">
        <v>24846</v>
      </c>
      <c r="L7" s="13">
        <f t="shared" si="2"/>
        <v>3.7752555743379324E-2</v>
      </c>
      <c r="M7" s="2">
        <v>25784</v>
      </c>
      <c r="N7" s="13">
        <f t="shared" si="3"/>
        <v>1.7064846416382284E-2</v>
      </c>
      <c r="O7" s="2">
        <v>26224</v>
      </c>
      <c r="P7" s="13">
        <f t="shared" si="4"/>
        <v>3.6760219646125636E-2</v>
      </c>
      <c r="Q7" s="2">
        <v>27188</v>
      </c>
      <c r="R7" s="13">
        <f t="shared" si="5"/>
        <v>-0.592173017507724</v>
      </c>
      <c r="S7" s="2">
        <v>11088</v>
      </c>
      <c r="T7" s="13">
        <f t="shared" si="6"/>
        <v>0.29103535353535359</v>
      </c>
      <c r="U7" s="2">
        <v>14315</v>
      </c>
      <c r="V7" s="13">
        <f t="shared" si="7"/>
        <v>0.84373035277680763</v>
      </c>
      <c r="W7" s="2">
        <v>26393</v>
      </c>
      <c r="X7" s="13">
        <f t="shared" si="8"/>
        <v>0.1373849126662372</v>
      </c>
      <c r="Y7" s="2">
        <v>30019</v>
      </c>
      <c r="Z7" s="2"/>
      <c r="AA7" s="14">
        <f>(Y7/G7)^(1/10)-1</f>
        <v>1.8749466303477069E-2</v>
      </c>
      <c r="AB7" s="2"/>
      <c r="AC7" s="2"/>
      <c r="AD7" s="2"/>
    </row>
    <row r="8" spans="2:30" ht="13.5" thickBot="1" x14ac:dyDescent="0.25">
      <c r="B8" s="2"/>
      <c r="C8" s="2"/>
      <c r="D8" s="2"/>
      <c r="E8" s="2"/>
      <c r="F8" s="12" t="s">
        <v>55</v>
      </c>
      <c r="G8" s="2">
        <v>4527</v>
      </c>
      <c r="H8" s="13">
        <f t="shared" si="0"/>
        <v>3.5122597746852113E-2</v>
      </c>
      <c r="I8" s="2">
        <v>4686</v>
      </c>
      <c r="J8" s="13">
        <f t="shared" si="1"/>
        <v>-3.6278275714894948E-3</v>
      </c>
      <c r="K8" s="2">
        <v>4669</v>
      </c>
      <c r="L8" s="13">
        <f t="shared" si="2"/>
        <v>8.0959520239880067E-2</v>
      </c>
      <c r="M8" s="2">
        <v>5047</v>
      </c>
      <c r="N8" s="13">
        <f t="shared" si="3"/>
        <v>0.16861501882306329</v>
      </c>
      <c r="O8" s="2">
        <v>5898</v>
      </c>
      <c r="P8" s="13">
        <f t="shared" si="4"/>
        <v>8.2570362834859301E-2</v>
      </c>
      <c r="Q8" s="2">
        <v>6385</v>
      </c>
      <c r="R8" s="13">
        <f t="shared" si="5"/>
        <v>-0.5287392325763508</v>
      </c>
      <c r="S8" s="2">
        <v>3009</v>
      </c>
      <c r="T8" s="13">
        <f t="shared" si="6"/>
        <v>-0.51545363908275177</v>
      </c>
      <c r="U8" s="2">
        <v>1458</v>
      </c>
      <c r="V8" s="13">
        <f t="shared" si="7"/>
        <v>2.9567901234567899</v>
      </c>
      <c r="W8" s="2">
        <v>5769</v>
      </c>
      <c r="X8" s="13">
        <f t="shared" si="8"/>
        <v>0.41636332119951458</v>
      </c>
      <c r="Y8" s="2">
        <v>8171</v>
      </c>
      <c r="Z8" s="2"/>
      <c r="AA8" s="16">
        <f>(Y8/G8)^(1/10)-1</f>
        <v>6.0831657656708282E-2</v>
      </c>
      <c r="AB8" s="2"/>
      <c r="AC8" s="2"/>
      <c r="AD8" s="2"/>
    </row>
    <row r="9" spans="2:30" x14ac:dyDescent="0.2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2:30" x14ac:dyDescent="0.2">
      <c r="B10" s="2"/>
      <c r="C10" s="2"/>
      <c r="D10" s="2"/>
      <c r="E10" s="2"/>
      <c r="F10" s="7" t="s">
        <v>7</v>
      </c>
      <c r="G10" s="8">
        <v>2014</v>
      </c>
      <c r="H10" s="8">
        <f>+G10+1</f>
        <v>2015</v>
      </c>
      <c r="I10" s="8">
        <f t="shared" ref="I10:P10" si="9">+H10+1</f>
        <v>2016</v>
      </c>
      <c r="J10" s="8">
        <f t="shared" si="9"/>
        <v>2017</v>
      </c>
      <c r="K10" s="8">
        <f t="shared" si="9"/>
        <v>2018</v>
      </c>
      <c r="L10" s="8">
        <f t="shared" si="9"/>
        <v>2019</v>
      </c>
      <c r="M10" s="8">
        <f t="shared" si="9"/>
        <v>2020</v>
      </c>
      <c r="N10" s="8">
        <f t="shared" si="9"/>
        <v>2021</v>
      </c>
      <c r="O10" s="8">
        <f t="shared" si="9"/>
        <v>2022</v>
      </c>
      <c r="P10" s="8">
        <f t="shared" si="9"/>
        <v>2023</v>
      </c>
      <c r="Q10" s="10"/>
      <c r="R10" s="17" t="s">
        <v>8</v>
      </c>
      <c r="S10" s="10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2:30" x14ac:dyDescent="0.2">
      <c r="B11" s="2"/>
      <c r="C11" s="2"/>
      <c r="D11" s="2"/>
      <c r="E11" s="2"/>
      <c r="F11" s="12" t="s">
        <v>3</v>
      </c>
      <c r="G11" s="2">
        <v>401</v>
      </c>
      <c r="H11" s="2">
        <v>677</v>
      </c>
      <c r="I11" s="2">
        <v>759</v>
      </c>
      <c r="J11" s="2">
        <v>1147</v>
      </c>
      <c r="K11" s="2">
        <v>189</v>
      </c>
      <c r="L11" s="2">
        <v>569</v>
      </c>
      <c r="M11" s="2">
        <v>-1354</v>
      </c>
      <c r="N11" s="2">
        <v>-182</v>
      </c>
      <c r="O11" s="2">
        <v>-362</v>
      </c>
      <c r="P11" s="2">
        <v>-310</v>
      </c>
      <c r="Q11" s="2"/>
      <c r="R11" s="2">
        <f>AVERAGE(G11:P11)</f>
        <v>153.4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2:30" x14ac:dyDescent="0.2">
      <c r="B12" s="2"/>
      <c r="C12" s="2"/>
      <c r="D12" s="2"/>
      <c r="E12" s="2"/>
      <c r="F12" s="12" t="s">
        <v>5</v>
      </c>
      <c r="G12" s="2">
        <v>1136</v>
      </c>
      <c r="H12" s="2">
        <v>2181</v>
      </c>
      <c r="I12" s="2">
        <v>2244</v>
      </c>
      <c r="J12" s="2">
        <v>3488</v>
      </c>
      <c r="K12" s="2">
        <v>2465</v>
      </c>
      <c r="L12" s="2">
        <v>2300</v>
      </c>
      <c r="M12" s="2">
        <v>-3074</v>
      </c>
      <c r="N12" s="2">
        <v>977</v>
      </c>
      <c r="O12" s="2">
        <v>539</v>
      </c>
      <c r="P12" s="2">
        <v>465</v>
      </c>
      <c r="Q12" s="2"/>
      <c r="R12" s="2">
        <f>AVERAGE(G12:P12)</f>
        <v>1272.0999999999999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2:30" x14ac:dyDescent="0.2">
      <c r="B13" s="2"/>
      <c r="C13" s="2"/>
      <c r="D13" s="2"/>
      <c r="E13" s="2"/>
      <c r="F13" s="12" t="s">
        <v>6</v>
      </c>
      <c r="G13" s="2">
        <v>866.7</v>
      </c>
      <c r="H13" s="2">
        <v>1559.1</v>
      </c>
      <c r="I13" s="2">
        <v>1315.9</v>
      </c>
      <c r="J13" s="2">
        <v>1450.2</v>
      </c>
      <c r="K13" s="2">
        <v>885</v>
      </c>
      <c r="L13" s="2">
        <v>648.70000000000005</v>
      </c>
      <c r="M13" s="2">
        <v>-1015.1</v>
      </c>
      <c r="N13" s="2">
        <v>-240.8</v>
      </c>
      <c r="O13" s="2">
        <v>1313.8</v>
      </c>
      <c r="P13" s="2">
        <v>1917.1</v>
      </c>
      <c r="Q13" s="2"/>
      <c r="R13" s="2">
        <f>AVERAGE(G13:P13)</f>
        <v>870.06000000000006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2:30" x14ac:dyDescent="0.2">
      <c r="B14" s="2"/>
      <c r="C14" s="2"/>
      <c r="D14" s="2"/>
      <c r="E14" s="2"/>
      <c r="F14" s="12" t="s">
        <v>54</v>
      </c>
      <c r="G14" s="2">
        <v>-173</v>
      </c>
      <c r="H14" s="2">
        <v>157</v>
      </c>
      <c r="I14" s="2">
        <v>529</v>
      </c>
      <c r="J14" s="2">
        <v>-288</v>
      </c>
      <c r="K14" s="2">
        <v>407</v>
      </c>
      <c r="L14" s="2">
        <v>270</v>
      </c>
      <c r="M14" s="2">
        <v>-7047</v>
      </c>
      <c r="N14" s="2">
        <v>-3267</v>
      </c>
      <c r="O14" s="2">
        <v>744</v>
      </c>
      <c r="P14" s="2">
        <v>990</v>
      </c>
      <c r="Q14" s="2"/>
      <c r="R14" s="2">
        <f>AVERAGE(G14:P14)</f>
        <v>-767.8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2:30" x14ac:dyDescent="0.2">
      <c r="B15" s="2"/>
      <c r="C15" s="2"/>
      <c r="D15" s="2"/>
      <c r="E15" s="2"/>
      <c r="F15" s="12" t="s">
        <v>55</v>
      </c>
      <c r="G15" s="2">
        <v>450</v>
      </c>
      <c r="H15" s="2">
        <v>548</v>
      </c>
      <c r="I15" s="2">
        <v>427</v>
      </c>
      <c r="J15" s="2">
        <v>325</v>
      </c>
      <c r="K15" s="2">
        <v>466</v>
      </c>
      <c r="L15" s="2">
        <v>349</v>
      </c>
      <c r="M15" s="2">
        <v>-725</v>
      </c>
      <c r="N15" s="2">
        <v>-900</v>
      </c>
      <c r="O15" s="2">
        <v>-147</v>
      </c>
      <c r="P15" s="2">
        <v>341</v>
      </c>
      <c r="Q15" s="2"/>
      <c r="R15" s="2">
        <f>AVERAGE(G15:P15)</f>
        <v>113.4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2:30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2:30" x14ac:dyDescent="0.2">
      <c r="B17" s="2"/>
      <c r="C17" s="2"/>
      <c r="D17" s="2"/>
      <c r="E17" s="2"/>
      <c r="F17" s="7" t="s">
        <v>9</v>
      </c>
      <c r="G17" s="8">
        <v>2014</v>
      </c>
      <c r="H17" s="8">
        <f>+G17+1</f>
        <v>2015</v>
      </c>
      <c r="I17" s="8">
        <f t="shared" ref="I17:P17" si="10">+H17+1</f>
        <v>2016</v>
      </c>
      <c r="J17" s="8">
        <f t="shared" si="10"/>
        <v>2017</v>
      </c>
      <c r="K17" s="8">
        <f t="shared" si="10"/>
        <v>2018</v>
      </c>
      <c r="L17" s="8">
        <f t="shared" si="10"/>
        <v>2019</v>
      </c>
      <c r="M17" s="8">
        <f t="shared" si="10"/>
        <v>2020</v>
      </c>
      <c r="N17" s="8">
        <f t="shared" si="10"/>
        <v>2021</v>
      </c>
      <c r="O17" s="8">
        <f t="shared" si="10"/>
        <v>2022</v>
      </c>
      <c r="P17" s="8">
        <f t="shared" si="10"/>
        <v>2023</v>
      </c>
      <c r="Q17" s="10"/>
      <c r="R17" s="17" t="s">
        <v>8</v>
      </c>
      <c r="S17" s="10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2:30" x14ac:dyDescent="0.2">
      <c r="B18" s="2"/>
      <c r="C18" s="2"/>
      <c r="D18" s="2"/>
      <c r="E18" s="2"/>
      <c r="F18" s="18" t="s">
        <v>3</v>
      </c>
      <c r="G18" s="2">
        <v>912</v>
      </c>
      <c r="H18" s="2">
        <v>1598</v>
      </c>
      <c r="I18" s="2">
        <v>1632</v>
      </c>
      <c r="J18" s="2">
        <v>1398</v>
      </c>
      <c r="K18" s="2">
        <v>1200</v>
      </c>
      <c r="L18" s="2">
        <v>1449</v>
      </c>
      <c r="M18" s="2">
        <v>-683</v>
      </c>
      <c r="N18" s="2">
        <v>1642</v>
      </c>
      <c r="O18" s="2">
        <v>379</v>
      </c>
      <c r="P18" s="2">
        <v>400</v>
      </c>
      <c r="Q18" s="2"/>
      <c r="R18" s="2">
        <f>AVERAGE(G18:P18)</f>
        <v>992.7</v>
      </c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2:30" x14ac:dyDescent="0.2">
      <c r="B19" s="2"/>
      <c r="C19" s="2"/>
      <c r="D19" s="2"/>
      <c r="E19" s="2"/>
      <c r="F19" s="12" t="s">
        <v>5</v>
      </c>
      <c r="G19" s="2">
        <v>2902</v>
      </c>
      <c r="H19" s="2">
        <v>3238</v>
      </c>
      <c r="I19" s="2">
        <v>4293</v>
      </c>
      <c r="J19" s="2">
        <v>3929</v>
      </c>
      <c r="K19" s="2">
        <v>4893</v>
      </c>
      <c r="L19" s="2">
        <v>3987</v>
      </c>
      <c r="M19" s="2">
        <v>-1127</v>
      </c>
      <c r="N19" s="2">
        <v>2322</v>
      </c>
      <c r="O19" s="2">
        <v>3790</v>
      </c>
      <c r="P19" s="2">
        <v>3164</v>
      </c>
      <c r="Q19" s="2"/>
      <c r="R19" s="2">
        <f>AVERAGE(G19:P19)</f>
        <v>3139.1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2:30" x14ac:dyDescent="0.2">
      <c r="B20" s="2"/>
      <c r="C20" s="2"/>
      <c r="D20" s="2"/>
      <c r="E20" s="2"/>
      <c r="F20" s="12" t="s">
        <v>6</v>
      </c>
      <c r="G20" s="2">
        <v>1689.4</v>
      </c>
      <c r="H20" s="2">
        <v>1846.3</v>
      </c>
      <c r="I20" s="2">
        <v>1927.2</v>
      </c>
      <c r="J20" s="2">
        <v>2233.1999999999998</v>
      </c>
      <c r="K20" s="2">
        <v>1759.3</v>
      </c>
      <c r="L20" s="2">
        <v>1327.1</v>
      </c>
      <c r="M20" s="2">
        <v>-2448</v>
      </c>
      <c r="N20" s="2">
        <v>1940.5</v>
      </c>
      <c r="O20" s="2">
        <v>3891</v>
      </c>
      <c r="P20" s="2">
        <v>3157.9</v>
      </c>
      <c r="Q20" s="2"/>
      <c r="R20" s="2">
        <f>AVERAGE(G20:P20)</f>
        <v>1732.39</v>
      </c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2:30" x14ac:dyDescent="0.2">
      <c r="B21" s="2"/>
      <c r="C21" s="2"/>
      <c r="D21" s="2"/>
      <c r="E21" s="2"/>
      <c r="F21" s="12" t="s">
        <v>54</v>
      </c>
      <c r="G21" s="2">
        <v>1012</v>
      </c>
      <c r="H21" s="2">
        <v>1900</v>
      </c>
      <c r="I21" s="2">
        <v>2239</v>
      </c>
      <c r="J21" s="2">
        <v>2898</v>
      </c>
      <c r="K21" s="2">
        <v>3798</v>
      </c>
      <c r="L21" s="2">
        <v>3895</v>
      </c>
      <c r="M21" s="2">
        <v>-2826</v>
      </c>
      <c r="N21" s="2">
        <v>1534</v>
      </c>
      <c r="O21" s="2">
        <v>4682</v>
      </c>
      <c r="P21" s="2">
        <v>3125</v>
      </c>
      <c r="Q21" s="2"/>
      <c r="R21" s="2">
        <f>AVERAGE(G21:P21)</f>
        <v>2225.6999999999998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2:30" x14ac:dyDescent="0.2">
      <c r="B22" s="2"/>
      <c r="C22" s="2"/>
      <c r="D22" s="2"/>
      <c r="E22" s="2"/>
      <c r="F22" s="12" t="s">
        <v>55</v>
      </c>
      <c r="G22" s="2">
        <v>394</v>
      </c>
      <c r="H22" s="2">
        <v>609</v>
      </c>
      <c r="I22" s="2">
        <v>387</v>
      </c>
      <c r="J22" s="2">
        <v>663</v>
      </c>
      <c r="K22" s="2">
        <v>961</v>
      </c>
      <c r="L22" s="2">
        <v>761</v>
      </c>
      <c r="M22" s="2">
        <v>762</v>
      </c>
      <c r="N22" s="2">
        <v>1035</v>
      </c>
      <c r="O22" s="2">
        <v>776</v>
      </c>
      <c r="P22" s="2">
        <v>1551</v>
      </c>
      <c r="Q22" s="2"/>
      <c r="R22" s="2">
        <f>AVERAGE(G22:P22)</f>
        <v>789.9</v>
      </c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2:30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2:30" x14ac:dyDescent="0.2">
      <c r="B24" s="2"/>
      <c r="C24" s="2"/>
      <c r="D24" s="2"/>
      <c r="E24" s="2"/>
      <c r="F24" s="7" t="s">
        <v>10</v>
      </c>
      <c r="G24" s="8">
        <v>2014</v>
      </c>
      <c r="H24" s="8">
        <f>+G24+1</f>
        <v>2015</v>
      </c>
      <c r="I24" s="8">
        <f t="shared" ref="I24:P24" si="11">+H24+1</f>
        <v>2016</v>
      </c>
      <c r="J24" s="8">
        <f t="shared" si="11"/>
        <v>2017</v>
      </c>
      <c r="K24" s="8">
        <f t="shared" si="11"/>
        <v>2018</v>
      </c>
      <c r="L24" s="8">
        <f t="shared" si="11"/>
        <v>2019</v>
      </c>
      <c r="M24" s="8">
        <f t="shared" si="11"/>
        <v>2020</v>
      </c>
      <c r="N24" s="8">
        <f t="shared" si="11"/>
        <v>2021</v>
      </c>
      <c r="O24" s="8">
        <f t="shared" si="11"/>
        <v>2022</v>
      </c>
      <c r="P24" s="8">
        <f t="shared" si="11"/>
        <v>2023</v>
      </c>
      <c r="Q24" s="10"/>
      <c r="R24" s="17" t="s">
        <v>8</v>
      </c>
      <c r="S24" s="10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2:30" x14ac:dyDescent="0.2">
      <c r="B25" s="2"/>
      <c r="C25" s="2"/>
      <c r="D25" s="2"/>
      <c r="E25" s="2"/>
      <c r="F25" s="12" t="s">
        <v>3</v>
      </c>
      <c r="G25" s="2">
        <v>730</v>
      </c>
      <c r="H25" s="2">
        <v>837</v>
      </c>
      <c r="I25" s="2">
        <v>850</v>
      </c>
      <c r="J25" s="2">
        <v>1074</v>
      </c>
      <c r="K25" s="2">
        <v>908</v>
      </c>
      <c r="L25" s="2">
        <v>932</v>
      </c>
      <c r="M25" s="2">
        <v>715</v>
      </c>
      <c r="N25" s="2">
        <v>907</v>
      </c>
      <c r="O25" s="2">
        <v>767</v>
      </c>
      <c r="P25" s="2">
        <v>1128</v>
      </c>
      <c r="Q25" s="2"/>
      <c r="R25" s="2">
        <f>AVERAGE(G25:P25)</f>
        <v>884.8</v>
      </c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2:30" x14ac:dyDescent="0.2">
      <c r="B26" s="2"/>
      <c r="C26" s="2"/>
      <c r="D26" s="2"/>
      <c r="E26" s="2"/>
      <c r="F26" s="12" t="s">
        <v>5</v>
      </c>
      <c r="G26" s="2">
        <v>1748</v>
      </c>
      <c r="H26" s="2">
        <v>2041</v>
      </c>
      <c r="I26" s="2">
        <v>2038</v>
      </c>
      <c r="J26" s="2">
        <v>2123</v>
      </c>
      <c r="K26" s="2">
        <v>1922</v>
      </c>
      <c r="L26" s="2">
        <v>1027</v>
      </c>
      <c r="M26" s="2">
        <v>515</v>
      </c>
      <c r="N26" s="2">
        <v>505</v>
      </c>
      <c r="O26" s="2">
        <v>3924</v>
      </c>
      <c r="P26" s="2">
        <v>3520</v>
      </c>
      <c r="Q26" s="2"/>
      <c r="R26" s="2">
        <f>AVERAGE(G26:P26)</f>
        <v>1936.3</v>
      </c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2:30" x14ac:dyDescent="0.2">
      <c r="B27" s="2"/>
      <c r="C27" s="2"/>
      <c r="D27" s="2"/>
      <c r="E27" s="2"/>
      <c r="F27" s="12" t="s">
        <v>6</v>
      </c>
      <c r="G27" s="2">
        <v>788.5</v>
      </c>
      <c r="H27" s="2">
        <v>1217.7</v>
      </c>
      <c r="I27" s="2">
        <v>1449.8</v>
      </c>
      <c r="J27" s="2">
        <v>1470.6</v>
      </c>
      <c r="K27" s="2">
        <v>1288.5</v>
      </c>
      <c r="L27" s="2">
        <v>578.79999999999995</v>
      </c>
      <c r="M27" s="2">
        <v>294.7</v>
      </c>
      <c r="N27" s="2">
        <v>1181.5999999999999</v>
      </c>
      <c r="O27" s="2">
        <v>1914.7</v>
      </c>
      <c r="P27" s="2">
        <v>2391.9</v>
      </c>
      <c r="Q27" s="2"/>
      <c r="R27" s="2">
        <f>AVERAGE(G27:P27)</f>
        <v>1257.68</v>
      </c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2:30" x14ac:dyDescent="0.2">
      <c r="B28" s="2"/>
      <c r="C28" s="2"/>
      <c r="D28" s="2"/>
      <c r="E28" s="2"/>
      <c r="F28" s="12" t="s">
        <v>54</v>
      </c>
      <c r="G28" s="2">
        <v>1431</v>
      </c>
      <c r="H28" s="2">
        <v>1647</v>
      </c>
      <c r="I28" s="2">
        <v>2072</v>
      </c>
      <c r="J28" s="2">
        <v>2312</v>
      </c>
      <c r="K28" s="2">
        <v>2844</v>
      </c>
      <c r="L28" s="2">
        <v>3372</v>
      </c>
      <c r="M28" s="2">
        <v>2099</v>
      </c>
      <c r="N28" s="2">
        <v>2202</v>
      </c>
      <c r="O28" s="2">
        <v>2798</v>
      </c>
      <c r="P28" s="2">
        <v>3551</v>
      </c>
      <c r="Q28" s="2"/>
      <c r="R28" s="2">
        <f>AVERAGE(G28:P28)</f>
        <v>2432.8000000000002</v>
      </c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2:30" x14ac:dyDescent="0.2">
      <c r="B29" s="2"/>
      <c r="C29" s="2"/>
      <c r="D29" s="2"/>
      <c r="E29" s="2"/>
      <c r="F29" s="12" t="s">
        <v>55</v>
      </c>
      <c r="G29" s="2">
        <v>426</v>
      </c>
      <c r="H29" s="2">
        <v>509</v>
      </c>
      <c r="I29" s="2">
        <v>549</v>
      </c>
      <c r="J29" s="2">
        <v>586</v>
      </c>
      <c r="K29" s="2">
        <v>931</v>
      </c>
      <c r="L29" s="2">
        <v>954</v>
      </c>
      <c r="M29" s="2">
        <v>659</v>
      </c>
      <c r="N29" s="2">
        <v>140</v>
      </c>
      <c r="O29" s="2">
        <v>501</v>
      </c>
      <c r="P29" s="2">
        <v>677</v>
      </c>
      <c r="Q29" s="2"/>
      <c r="R29" s="2">
        <f>AVERAGE(G29:P29)</f>
        <v>593.20000000000005</v>
      </c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2:30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2:30" x14ac:dyDescent="0.2">
      <c r="B31" s="2"/>
      <c r="C31" s="2"/>
      <c r="D31" s="2"/>
      <c r="E31" s="2"/>
      <c r="F31" s="7" t="s">
        <v>11</v>
      </c>
      <c r="G31" s="8">
        <v>2014</v>
      </c>
      <c r="H31" s="8">
        <f>+G31+1</f>
        <v>2015</v>
      </c>
      <c r="I31" s="8">
        <f t="shared" ref="I31:P31" si="12">+H31+1</f>
        <v>2016</v>
      </c>
      <c r="J31" s="8">
        <f t="shared" si="12"/>
        <v>2017</v>
      </c>
      <c r="K31" s="8">
        <f t="shared" si="12"/>
        <v>2018</v>
      </c>
      <c r="L31" s="8">
        <f t="shared" si="12"/>
        <v>2019</v>
      </c>
      <c r="M31" s="8">
        <f t="shared" si="12"/>
        <v>2020</v>
      </c>
      <c r="N31" s="8">
        <f t="shared" si="12"/>
        <v>2021</v>
      </c>
      <c r="O31" s="8">
        <f t="shared" si="12"/>
        <v>2022</v>
      </c>
      <c r="P31" s="8">
        <f t="shared" si="12"/>
        <v>2023</v>
      </c>
      <c r="Q31" s="10"/>
      <c r="R31" s="17" t="s">
        <v>8</v>
      </c>
      <c r="S31" s="10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2:30" x14ac:dyDescent="0.2">
      <c r="B32" s="2"/>
      <c r="C32" s="2"/>
      <c r="D32" s="2"/>
      <c r="E32" s="2"/>
      <c r="F32" s="12" t="s">
        <v>3</v>
      </c>
      <c r="G32" s="2">
        <f t="shared" ref="G32:O36" si="13">+G18-G25</f>
        <v>182</v>
      </c>
      <c r="H32" s="2">
        <f t="shared" si="13"/>
        <v>761</v>
      </c>
      <c r="I32" s="2">
        <f t="shared" si="13"/>
        <v>782</v>
      </c>
      <c r="J32" s="2">
        <f t="shared" si="13"/>
        <v>324</v>
      </c>
      <c r="K32" s="2">
        <f t="shared" si="13"/>
        <v>292</v>
      </c>
      <c r="L32" s="2">
        <f t="shared" si="13"/>
        <v>517</v>
      </c>
      <c r="M32" s="2">
        <f t="shared" si="13"/>
        <v>-1398</v>
      </c>
      <c r="N32" s="2">
        <f t="shared" si="13"/>
        <v>735</v>
      </c>
      <c r="O32" s="2">
        <f t="shared" si="13"/>
        <v>-388</v>
      </c>
      <c r="P32" s="2">
        <f>+P18-P25</f>
        <v>-728</v>
      </c>
      <c r="Q32" s="2"/>
      <c r="R32" s="2">
        <f>AVERAGE(G32:P32)</f>
        <v>107.9</v>
      </c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2:30" x14ac:dyDescent="0.2">
      <c r="B33" s="2"/>
      <c r="C33" s="2"/>
      <c r="D33" s="2"/>
      <c r="E33" s="2"/>
      <c r="F33" s="12" t="s">
        <v>5</v>
      </c>
      <c r="G33" s="2">
        <f t="shared" si="13"/>
        <v>1154</v>
      </c>
      <c r="H33" s="2">
        <f t="shared" si="13"/>
        <v>1197</v>
      </c>
      <c r="I33" s="2">
        <f t="shared" si="13"/>
        <v>2255</v>
      </c>
      <c r="J33" s="2">
        <f t="shared" si="13"/>
        <v>1806</v>
      </c>
      <c r="K33" s="2">
        <f t="shared" si="13"/>
        <v>2971</v>
      </c>
      <c r="L33" s="2">
        <f t="shared" si="13"/>
        <v>2960</v>
      </c>
      <c r="M33" s="2">
        <f t="shared" si="13"/>
        <v>-1642</v>
      </c>
      <c r="N33" s="2">
        <f t="shared" si="13"/>
        <v>1817</v>
      </c>
      <c r="O33" s="2">
        <f t="shared" si="13"/>
        <v>-134</v>
      </c>
      <c r="P33" s="2">
        <f>+P19-P26</f>
        <v>-356</v>
      </c>
      <c r="Q33" s="2"/>
      <c r="R33" s="2">
        <f>AVERAGE(G33:P33)</f>
        <v>1202.8</v>
      </c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2:30" x14ac:dyDescent="0.2">
      <c r="B34" s="2"/>
      <c r="C34" s="2"/>
      <c r="D34" s="2"/>
      <c r="E34" s="2"/>
      <c r="F34" s="12" t="s">
        <v>6</v>
      </c>
      <c r="G34" s="2">
        <f t="shared" si="13"/>
        <v>900.90000000000009</v>
      </c>
      <c r="H34" s="2">
        <f t="shared" si="13"/>
        <v>628.59999999999991</v>
      </c>
      <c r="I34" s="2">
        <f t="shared" si="13"/>
        <v>477.40000000000009</v>
      </c>
      <c r="J34" s="2">
        <f t="shared" si="13"/>
        <v>762.59999999999991</v>
      </c>
      <c r="K34" s="2">
        <f t="shared" si="13"/>
        <v>470.79999999999995</v>
      </c>
      <c r="L34" s="2">
        <f t="shared" si="13"/>
        <v>748.3</v>
      </c>
      <c r="M34" s="2">
        <f t="shared" si="13"/>
        <v>-2742.7</v>
      </c>
      <c r="N34" s="2">
        <f t="shared" si="13"/>
        <v>758.90000000000009</v>
      </c>
      <c r="O34" s="2">
        <f t="shared" si="13"/>
        <v>1976.3</v>
      </c>
      <c r="P34" s="2">
        <f>+P20-P27</f>
        <v>766</v>
      </c>
      <c r="Q34" s="2"/>
      <c r="R34" s="2">
        <f>AVERAGE(G34:P34)</f>
        <v>474.71000000000004</v>
      </c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2:30" x14ac:dyDescent="0.2">
      <c r="B35" s="2"/>
      <c r="C35" s="2"/>
      <c r="D35" s="2"/>
      <c r="E35" s="2"/>
      <c r="F35" s="12" t="s">
        <v>54</v>
      </c>
      <c r="G35" s="2">
        <f t="shared" si="13"/>
        <v>-419</v>
      </c>
      <c r="H35" s="2">
        <f t="shared" si="13"/>
        <v>253</v>
      </c>
      <c r="I35" s="2">
        <f t="shared" si="13"/>
        <v>167</v>
      </c>
      <c r="J35" s="2">
        <f t="shared" si="13"/>
        <v>586</v>
      </c>
      <c r="K35" s="2">
        <f t="shared" si="13"/>
        <v>954</v>
      </c>
      <c r="L35" s="2">
        <f t="shared" si="13"/>
        <v>523</v>
      </c>
      <c r="M35" s="2">
        <f t="shared" si="13"/>
        <v>-4925</v>
      </c>
      <c r="N35" s="2">
        <f t="shared" si="13"/>
        <v>-668</v>
      </c>
      <c r="O35" s="2">
        <f t="shared" si="13"/>
        <v>1884</v>
      </c>
      <c r="P35" s="2">
        <f>+P21-P28</f>
        <v>-426</v>
      </c>
      <c r="Q35" s="2"/>
      <c r="R35" s="2">
        <f>AVERAGE(G35:P35)</f>
        <v>-207.1</v>
      </c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2:30" x14ac:dyDescent="0.2">
      <c r="B36" s="2"/>
      <c r="C36" s="2"/>
      <c r="D36" s="2"/>
      <c r="E36" s="2"/>
      <c r="F36" s="12" t="s">
        <v>55</v>
      </c>
      <c r="G36" s="2">
        <f t="shared" si="13"/>
        <v>-32</v>
      </c>
      <c r="H36" s="2">
        <f t="shared" si="13"/>
        <v>100</v>
      </c>
      <c r="I36" s="2">
        <f t="shared" si="13"/>
        <v>-162</v>
      </c>
      <c r="J36" s="2">
        <f t="shared" si="13"/>
        <v>77</v>
      </c>
      <c r="K36" s="2">
        <f t="shared" si="13"/>
        <v>30</v>
      </c>
      <c r="L36" s="2">
        <f t="shared" si="13"/>
        <v>-193</v>
      </c>
      <c r="M36" s="2">
        <f t="shared" si="13"/>
        <v>103</v>
      </c>
      <c r="N36" s="2">
        <f t="shared" si="13"/>
        <v>895</v>
      </c>
      <c r="O36" s="2">
        <f t="shared" si="13"/>
        <v>275</v>
      </c>
      <c r="P36" s="2">
        <f>+P22-P29</f>
        <v>874</v>
      </c>
      <c r="Q36" s="2"/>
      <c r="R36" s="2">
        <f>AVERAGE(G36:P36)</f>
        <v>196.7</v>
      </c>
      <c r="S36" s="2"/>
      <c r="T36" s="2"/>
      <c r="U36" s="2"/>
      <c r="V36" s="4"/>
      <c r="W36" s="4"/>
      <c r="X36" s="4"/>
      <c r="Y36" s="4"/>
      <c r="Z36" s="4"/>
      <c r="AA36" s="4"/>
      <c r="AB36" s="4"/>
      <c r="AC36" s="4"/>
      <c r="AD36" s="4"/>
    </row>
    <row r="37" spans="2:30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2:30" x14ac:dyDescent="0.2">
      <c r="B38" s="2"/>
      <c r="C38" s="2"/>
      <c r="D38" s="2"/>
      <c r="E38" s="2"/>
      <c r="F38" s="43" t="s">
        <v>12</v>
      </c>
      <c r="G38" s="19"/>
      <c r="H38" s="19"/>
      <c r="I38" s="43" t="s">
        <v>5</v>
      </c>
      <c r="J38" s="19"/>
      <c r="K38" s="20"/>
      <c r="L38" s="19" t="s">
        <v>6</v>
      </c>
      <c r="M38" s="19"/>
      <c r="N38" s="20"/>
      <c r="O38" s="44" t="s">
        <v>54</v>
      </c>
      <c r="P38" s="19"/>
      <c r="Q38" s="20"/>
      <c r="R38" s="21" t="s">
        <v>55</v>
      </c>
      <c r="S38" s="20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2:30" x14ac:dyDescent="0.2">
      <c r="B39" s="6"/>
      <c r="C39" s="6"/>
      <c r="D39" s="6"/>
      <c r="E39" s="6"/>
      <c r="F39" s="6" t="s">
        <v>13</v>
      </c>
      <c r="G39" s="6">
        <v>5.3</v>
      </c>
      <c r="H39" s="6"/>
      <c r="I39" s="6" t="s">
        <v>13</v>
      </c>
      <c r="J39" s="6">
        <v>29.7</v>
      </c>
      <c r="K39" s="6"/>
      <c r="L39" s="6" t="s">
        <v>13</v>
      </c>
      <c r="M39" s="6">
        <v>15.58</v>
      </c>
      <c r="N39" s="6"/>
      <c r="O39" s="6" t="s">
        <v>13</v>
      </c>
      <c r="P39" s="6">
        <v>8.0500000000000007</v>
      </c>
      <c r="Q39" s="6"/>
      <c r="R39" s="6" t="s">
        <v>13</v>
      </c>
      <c r="S39" s="6">
        <v>4.7839999999999998</v>
      </c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</row>
    <row r="40" spans="2:30" x14ac:dyDescent="0.2">
      <c r="B40" s="2"/>
      <c r="C40" s="2"/>
      <c r="D40" s="2"/>
      <c r="E40" s="2"/>
      <c r="F40" s="2" t="s">
        <v>14</v>
      </c>
      <c r="G40" s="2">
        <v>347</v>
      </c>
      <c r="H40" s="2"/>
      <c r="I40" s="2" t="s">
        <v>14</v>
      </c>
      <c r="J40" s="2">
        <v>599.15701899999999</v>
      </c>
      <c r="K40" s="2"/>
      <c r="L40" s="2" t="s">
        <v>14</v>
      </c>
      <c r="M40" s="2">
        <v>1144.5999999999999</v>
      </c>
      <c r="N40" s="2"/>
      <c r="O40" s="2" t="s">
        <v>14</v>
      </c>
      <c r="P40" s="2">
        <v>262.63280099999997</v>
      </c>
      <c r="Q40" s="2"/>
      <c r="R40" s="2" t="s">
        <v>14</v>
      </c>
      <c r="S40" s="2">
        <v>750</v>
      </c>
      <c r="T40" s="2"/>
      <c r="U40" s="2"/>
      <c r="V40" s="2"/>
      <c r="W40" s="6"/>
      <c r="X40" s="2"/>
      <c r="Y40" s="6"/>
      <c r="Z40" s="2"/>
      <c r="AA40" s="2"/>
      <c r="AB40" s="2"/>
      <c r="AC40" s="2"/>
      <c r="AD40" s="2"/>
    </row>
    <row r="41" spans="2:30" x14ac:dyDescent="0.2">
      <c r="B41" s="2"/>
      <c r="C41" s="2"/>
      <c r="D41" s="2"/>
      <c r="E41" s="2"/>
      <c r="F41" s="2" t="s">
        <v>15</v>
      </c>
      <c r="G41" s="2">
        <f>+G39*G40</f>
        <v>1839.1</v>
      </c>
      <c r="H41" s="2"/>
      <c r="I41" s="2" t="s">
        <v>15</v>
      </c>
      <c r="J41" s="2">
        <f>+J39*J40</f>
        <v>17794.963464299999</v>
      </c>
      <c r="K41" s="2"/>
      <c r="L41" s="2" t="s">
        <v>15</v>
      </c>
      <c r="M41" s="2">
        <f>+M39*M40</f>
        <v>17832.867999999999</v>
      </c>
      <c r="N41" s="2"/>
      <c r="O41" s="2" t="s">
        <v>15</v>
      </c>
      <c r="P41" s="2">
        <f>+P39*P40</f>
        <v>2114.1940480499998</v>
      </c>
      <c r="Q41" s="2"/>
      <c r="R41" s="2" t="s">
        <v>15</v>
      </c>
      <c r="S41" s="2">
        <f>+S39*S40</f>
        <v>3588</v>
      </c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2:30" x14ac:dyDescent="0.2">
      <c r="B42" s="2"/>
      <c r="C42" s="2"/>
      <c r="D42" s="2"/>
      <c r="E42" s="2"/>
      <c r="F42" s="2" t="s">
        <v>16</v>
      </c>
      <c r="G42" s="2">
        <v>1446</v>
      </c>
      <c r="H42" s="2"/>
      <c r="I42" s="2" t="s">
        <v>16</v>
      </c>
      <c r="J42" s="2">
        <f>8142+1860</f>
        <v>10002</v>
      </c>
      <c r="K42" s="2"/>
      <c r="L42" s="2" t="s">
        <v>16</v>
      </c>
      <c r="M42" s="2">
        <f>3955.1+526.1+6.4</f>
        <v>4487.5999999999995</v>
      </c>
      <c r="N42" s="2"/>
      <c r="O42" s="2" t="s">
        <v>16</v>
      </c>
      <c r="P42" s="2">
        <v>5288</v>
      </c>
      <c r="Q42" s="2"/>
      <c r="R42" s="2" t="s">
        <v>16</v>
      </c>
      <c r="S42" s="2">
        <v>2286</v>
      </c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2:30" x14ac:dyDescent="0.2">
      <c r="B43" s="2"/>
      <c r="C43" s="2"/>
      <c r="D43" s="2"/>
      <c r="E43" s="2"/>
      <c r="F43" s="2" t="s">
        <v>17</v>
      </c>
      <c r="G43" s="2">
        <v>5370</v>
      </c>
      <c r="H43" s="2"/>
      <c r="I43" s="2" t="s">
        <v>17</v>
      </c>
      <c r="J43" s="2">
        <f>2931+5065</f>
        <v>7996</v>
      </c>
      <c r="K43" s="2"/>
      <c r="L43" s="2" t="s">
        <v>17</v>
      </c>
      <c r="M43" s="2">
        <v>2533.6</v>
      </c>
      <c r="N43" s="2"/>
      <c r="O43" s="2" t="s">
        <v>17</v>
      </c>
      <c r="P43" s="2">
        <f>4042+879</f>
        <v>4921</v>
      </c>
      <c r="Q43" s="2"/>
      <c r="R43" s="2" t="s">
        <v>17</v>
      </c>
      <c r="S43" s="2">
        <f>2162+224+800</f>
        <v>3186</v>
      </c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2:30" x14ac:dyDescent="0.2">
      <c r="B44" s="2"/>
      <c r="C44" s="2"/>
      <c r="D44" s="2"/>
      <c r="E44" s="2"/>
      <c r="F44" s="2" t="s">
        <v>18</v>
      </c>
      <c r="G44" s="2">
        <f>+G41-G42+G43</f>
        <v>5763.1</v>
      </c>
      <c r="H44" s="2"/>
      <c r="I44" s="2" t="s">
        <v>18</v>
      </c>
      <c r="J44" s="2">
        <f>+J41-J42+J43</f>
        <v>15788.963464299999</v>
      </c>
      <c r="K44" s="2"/>
      <c r="L44" s="2" t="s">
        <v>18</v>
      </c>
      <c r="M44" s="2">
        <f>+M41-M42+M43</f>
        <v>15878.868</v>
      </c>
      <c r="N44" s="2"/>
      <c r="O44" s="2" t="s">
        <v>18</v>
      </c>
      <c r="P44" s="2">
        <f>+P41-P42+P43</f>
        <v>1747.1940480499998</v>
      </c>
      <c r="Q44" s="2"/>
      <c r="R44" s="2" t="s">
        <v>18</v>
      </c>
      <c r="S44" s="2">
        <f>+S41-S42+S43</f>
        <v>4488</v>
      </c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2:30" x14ac:dyDescent="0.2">
      <c r="B45" s="2" t="s">
        <v>19</v>
      </c>
      <c r="C45" s="2"/>
      <c r="D45" s="2"/>
      <c r="E45" s="2"/>
      <c r="F45" s="2"/>
      <c r="G45" s="2">
        <f>+R11</f>
        <v>153.4</v>
      </c>
      <c r="H45" s="2"/>
      <c r="I45" s="2"/>
      <c r="J45" s="2">
        <f>+R12</f>
        <v>1272.0999999999999</v>
      </c>
      <c r="K45" s="2"/>
      <c r="L45" s="2"/>
      <c r="M45" s="2">
        <f>+R13</f>
        <v>870.06000000000006</v>
      </c>
      <c r="N45" s="2"/>
      <c r="O45" s="2"/>
      <c r="P45" s="22">
        <f>+R14</f>
        <v>-767.8</v>
      </c>
      <c r="Q45" s="2"/>
      <c r="R45" s="2"/>
      <c r="S45" s="2">
        <f>+R15</f>
        <v>113.4</v>
      </c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2:30" x14ac:dyDescent="0.2">
      <c r="B46" s="23" t="s">
        <v>20</v>
      </c>
      <c r="C46" s="24"/>
      <c r="D46" s="24"/>
      <c r="E46" s="24"/>
      <c r="F46" s="24"/>
      <c r="G46" s="24">
        <f>+G44/G45</f>
        <v>37.569100391134292</v>
      </c>
      <c r="H46" s="24"/>
      <c r="I46" s="24"/>
      <c r="J46" s="24">
        <f>+J44/J45</f>
        <v>12.41173136097791</v>
      </c>
      <c r="K46" s="24"/>
      <c r="L46" s="24"/>
      <c r="M46" s="24">
        <f>+M44/M45</f>
        <v>18.250313771464036</v>
      </c>
      <c r="N46" s="24"/>
      <c r="O46" s="24"/>
      <c r="P46" s="25">
        <f>+P44/P45</f>
        <v>-2.2755848502865326</v>
      </c>
      <c r="Q46" s="24"/>
      <c r="R46" s="24"/>
      <c r="S46" s="24">
        <f>+S44/S45</f>
        <v>39.576719576719576</v>
      </c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2:30" ht="13.5" thickBot="1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</row>
    <row r="48" spans="2:30" x14ac:dyDescent="0.2">
      <c r="B48" s="26" t="s">
        <v>21</v>
      </c>
      <c r="C48" s="27"/>
      <c r="D48" s="28" t="s">
        <v>22</v>
      </c>
      <c r="E48" s="27"/>
      <c r="F48" s="27"/>
      <c r="G48" s="27">
        <f>+R11*1.05^10</f>
        <v>249.87243574765955</v>
      </c>
      <c r="H48" s="27"/>
      <c r="I48" s="27"/>
      <c r="J48" s="27">
        <f>+R12*1.03^10</f>
        <v>1709.5960261636571</v>
      </c>
      <c r="K48" s="27"/>
      <c r="L48" s="27"/>
      <c r="M48" s="27">
        <f>+R13*1.09^10</f>
        <v>2059.7484387156192</v>
      </c>
      <c r="N48" s="27"/>
      <c r="O48" s="27"/>
      <c r="P48" s="29">
        <f>+R14*1.02^10</f>
        <v>-935.94391567197442</v>
      </c>
      <c r="Q48" s="27"/>
      <c r="R48" s="27"/>
      <c r="S48" s="30">
        <f>+R15*1.06^10</f>
        <v>203.08212878795973</v>
      </c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2:30" ht="13.5" thickBot="1" x14ac:dyDescent="0.25">
      <c r="B49" s="31" t="s">
        <v>20</v>
      </c>
      <c r="C49" s="32"/>
      <c r="D49" s="33"/>
      <c r="E49" s="33"/>
      <c r="F49" s="33"/>
      <c r="G49" s="32">
        <f>+G44/G48</f>
        <v>23.064168653720664</v>
      </c>
      <c r="H49" s="32"/>
      <c r="I49" s="32"/>
      <c r="J49" s="32">
        <f>+J44/J48</f>
        <v>9.2354937790365135</v>
      </c>
      <c r="K49" s="32"/>
      <c r="L49" s="32"/>
      <c r="M49" s="32">
        <f>+M44/M48</f>
        <v>7.7091297663036267</v>
      </c>
      <c r="N49" s="32"/>
      <c r="O49" s="32"/>
      <c r="P49" s="34">
        <f>+P44/P48</f>
        <v>-1.8667721631542169</v>
      </c>
      <c r="Q49" s="32"/>
      <c r="R49" s="32"/>
      <c r="S49" s="35">
        <f>+S44/S48</f>
        <v>22.099433499074504</v>
      </c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</sheetData>
  <hyperlinks>
    <hyperlink ref="F38" location="'Main(JBLU)'!A1" display="Jet Blue" xr:uid="{57242F53-01D6-410C-B91F-2DA06E9F7965}"/>
    <hyperlink ref="I38" location="'Main(LUV)'!A1" display="SouthAirlines" xr:uid="{7F28F723-C8DE-4B68-B005-6E4AD42F80BC}"/>
    <hyperlink ref="O38" location="'Main(AF)'!A1" display="Air France KLM" xr:uid="{602A64D8-555E-4EEB-BF21-497BC2A8DAE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Airliners</vt:lpstr>
      <vt:lpstr>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Dennis Hesselberth</cp:lastModifiedBy>
  <dcterms:created xsi:type="dcterms:W3CDTF">2024-09-08T16:46:19Z</dcterms:created>
  <dcterms:modified xsi:type="dcterms:W3CDTF">2024-10-25T19:05:11Z</dcterms:modified>
</cp:coreProperties>
</file>