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BF290AF4-62C1-41C1-A4C7-6AA6B9290541}" xr6:coauthVersionLast="47" xr6:coauthVersionMax="47" xr10:uidLastSave="{00000000-0000-0000-0000-000000000000}"/>
  <bookViews>
    <workbookView xWindow="-120" yWindow="-120" windowWidth="29040" windowHeight="15840" activeTab="1" xr2:uid="{0C621BBA-AFD6-498C-87A1-792BDC676378}"/>
  </bookViews>
  <sheets>
    <sheet name="Main" sheetId="1" r:id="rId1"/>
    <sheet name="Model" sheetId="2" r:id="rId2"/>
    <sheet name="Clubs" sheetId="4" r:id="rId3"/>
    <sheet name="EBI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8" i="4" l="1"/>
  <c r="R7" i="4"/>
  <c r="R6" i="4"/>
  <c r="R5" i="4"/>
  <c r="R4" i="4"/>
  <c r="Y6" i="2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X6" i="2"/>
  <c r="Y9" i="2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Y8" i="2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X9" i="2"/>
  <c r="X8" i="2"/>
  <c r="Y7" i="2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X7" i="2"/>
  <c r="O10" i="2"/>
  <c r="Y5" i="2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X5" i="2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AL23" i="2" s="1"/>
  <c r="Z4" i="2"/>
  <c r="Y4" i="2"/>
  <c r="M42" i="2"/>
  <c r="M38" i="2"/>
  <c r="W24" i="2"/>
  <c r="X17" i="2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M12" i="2"/>
  <c r="M9" i="2"/>
  <c r="M8" i="2"/>
  <c r="M7" i="2"/>
  <c r="M6" i="2"/>
  <c r="M5" i="2"/>
  <c r="M4" i="2"/>
  <c r="AL24" i="2" l="1"/>
  <c r="AH23" i="2"/>
  <c r="AK23" i="2"/>
  <c r="X24" i="2"/>
  <c r="AH24" i="2"/>
  <c r="AI24" i="2"/>
  <c r="AJ24" i="2"/>
  <c r="AK24" i="2"/>
  <c r="AI23" i="2"/>
  <c r="AJ23" i="2"/>
  <c r="AH10" i="2"/>
  <c r="X10" i="2"/>
  <c r="X11" i="2" s="1"/>
  <c r="Y23" i="2"/>
  <c r="AG23" i="2"/>
  <c r="AE24" i="2"/>
  <c r="Y24" i="2"/>
  <c r="Z24" i="2"/>
  <c r="AA24" i="2"/>
  <c r="AB24" i="2"/>
  <c r="AC24" i="2"/>
  <c r="AD24" i="2"/>
  <c r="Y10" i="2"/>
  <c r="AH11" i="2" l="1"/>
  <c r="AH19" i="2" s="1"/>
  <c r="X19" i="2"/>
  <c r="AI10" i="2"/>
  <c r="AF23" i="2"/>
  <c r="AD23" i="2"/>
  <c r="AE23" i="2"/>
  <c r="AB23" i="2"/>
  <c r="AC23" i="2"/>
  <c r="AA23" i="2"/>
  <c r="Z23" i="2"/>
  <c r="AG24" i="2"/>
  <c r="AF24" i="2"/>
  <c r="Y11" i="2"/>
  <c r="Y25" i="2"/>
  <c r="Z10" i="2"/>
  <c r="AI11" i="2" l="1"/>
  <c r="AI19" i="2" s="1"/>
  <c r="AI25" i="2"/>
  <c r="AJ10" i="2"/>
  <c r="Z11" i="2"/>
  <c r="Z25" i="2"/>
  <c r="Y19" i="2"/>
  <c r="AA10" i="2"/>
  <c r="AJ11" i="2" l="1"/>
  <c r="AJ19" i="2" s="1"/>
  <c r="AJ25" i="2"/>
  <c r="AL10" i="2"/>
  <c r="AK10" i="2"/>
  <c r="AA11" i="2"/>
  <c r="AA25" i="2"/>
  <c r="Z19" i="2"/>
  <c r="AB10" i="2"/>
  <c r="AL11" i="2" l="1"/>
  <c r="AL19" i="2" s="1"/>
  <c r="AL25" i="2"/>
  <c r="AK11" i="2"/>
  <c r="AK19" i="2" s="1"/>
  <c r="AK25" i="2"/>
  <c r="AB11" i="2"/>
  <c r="AB25" i="2"/>
  <c r="AA19" i="2"/>
  <c r="AC10" i="2"/>
  <c r="AC11" i="2" l="1"/>
  <c r="AC25" i="2"/>
  <c r="AB19" i="2"/>
  <c r="AD10" i="2"/>
  <c r="AC19" i="2" l="1"/>
  <c r="AD11" i="2"/>
  <c r="AD25" i="2"/>
  <c r="AE10" i="2"/>
  <c r="AE11" i="2" l="1"/>
  <c r="AE25" i="2"/>
  <c r="AD19" i="2"/>
  <c r="AG10" i="2"/>
  <c r="AH25" i="2" s="1"/>
  <c r="AF10" i="2"/>
  <c r="AG11" i="2" l="1"/>
  <c r="AG25" i="2"/>
  <c r="AF11" i="2"/>
  <c r="AF25" i="2"/>
  <c r="AE19" i="2"/>
  <c r="AF19" i="2" l="1"/>
  <c r="AG19" i="2"/>
  <c r="W62" i="2" l="1"/>
  <c r="W53" i="2"/>
  <c r="W45" i="2"/>
  <c r="W42" i="2"/>
  <c r="W28" i="2" s="1"/>
  <c r="X12" i="2" s="1"/>
  <c r="X13" i="2" s="1"/>
  <c r="W41" i="2"/>
  <c r="W35" i="2"/>
  <c r="W29" i="2"/>
  <c r="V62" i="2"/>
  <c r="V53" i="2"/>
  <c r="V45" i="2"/>
  <c r="V42" i="2"/>
  <c r="V41" i="2"/>
  <c r="V35" i="2"/>
  <c r="V29" i="2"/>
  <c r="U62" i="2"/>
  <c r="U53" i="2"/>
  <c r="U45" i="2"/>
  <c r="U44" i="2"/>
  <c r="U42" i="2"/>
  <c r="U41" i="2"/>
  <c r="U49" i="2" s="1"/>
  <c r="U51" i="2" s="1"/>
  <c r="U35" i="2"/>
  <c r="U29" i="2"/>
  <c r="T53" i="2"/>
  <c r="S53" i="2"/>
  <c r="R53" i="2"/>
  <c r="T62" i="2"/>
  <c r="T45" i="2"/>
  <c r="T44" i="2"/>
  <c r="T42" i="2"/>
  <c r="T41" i="2"/>
  <c r="T35" i="2"/>
  <c r="T29" i="2"/>
  <c r="T40" i="2" s="1"/>
  <c r="S62" i="2"/>
  <c r="S41" i="2"/>
  <c r="S45" i="2"/>
  <c r="S44" i="2"/>
  <c r="S42" i="2"/>
  <c r="S35" i="2"/>
  <c r="S29" i="2"/>
  <c r="X23" i="2"/>
  <c r="T24" i="2"/>
  <c r="T23" i="2"/>
  <c r="S24" i="2"/>
  <c r="S23" i="2"/>
  <c r="S10" i="2"/>
  <c r="R62" i="2"/>
  <c r="R45" i="2"/>
  <c r="R44" i="2"/>
  <c r="R42" i="2"/>
  <c r="R35" i="2"/>
  <c r="R29" i="2"/>
  <c r="I29" i="2"/>
  <c r="H29" i="2"/>
  <c r="G29" i="2"/>
  <c r="F29" i="2"/>
  <c r="E29" i="2"/>
  <c r="D29" i="2"/>
  <c r="C29" i="2"/>
  <c r="B29" i="2"/>
  <c r="R24" i="2"/>
  <c r="R23" i="2"/>
  <c r="R10" i="2"/>
  <c r="Q23" i="2"/>
  <c r="Q24" i="2"/>
  <c r="P24" i="2"/>
  <c r="P23" i="2"/>
  <c r="Q53" i="2"/>
  <c r="Q45" i="2"/>
  <c r="Q44" i="2"/>
  <c r="Q42" i="2"/>
  <c r="Q35" i="2"/>
  <c r="Q40" i="2" s="1"/>
  <c r="Q62" i="2"/>
  <c r="O62" i="2"/>
  <c r="O53" i="2"/>
  <c r="O42" i="2"/>
  <c r="O28" i="2" s="1"/>
  <c r="O45" i="2"/>
  <c r="O35" i="2"/>
  <c r="O40" i="2" s="1"/>
  <c r="O11" i="2"/>
  <c r="O13" i="2" s="1"/>
  <c r="P62" i="2"/>
  <c r="P53" i="2"/>
  <c r="P45" i="2"/>
  <c r="P42" i="2"/>
  <c r="P35" i="2"/>
  <c r="P40" i="2" s="1"/>
  <c r="Q10" i="2"/>
  <c r="Q11" i="2" s="1"/>
  <c r="U24" i="2"/>
  <c r="V24" i="2"/>
  <c r="P10" i="2"/>
  <c r="P11" i="2" s="1"/>
  <c r="P13" i="2" s="1"/>
  <c r="Q3" i="2"/>
  <c r="R3" i="2" s="1"/>
  <c r="S3" i="2" s="1"/>
  <c r="D28" i="4"/>
  <c r="F28" i="4"/>
  <c r="H28" i="4"/>
  <c r="J28" i="4" s="1"/>
  <c r="P28" i="4"/>
  <c r="Q28" i="4" s="1"/>
  <c r="L28" i="4"/>
  <c r="Q15" i="4"/>
  <c r="P15" i="4"/>
  <c r="O15" i="4"/>
  <c r="N15" i="4"/>
  <c r="M15" i="4"/>
  <c r="L15" i="4"/>
  <c r="K15" i="4"/>
  <c r="Q14" i="4"/>
  <c r="P14" i="4"/>
  <c r="O14" i="4"/>
  <c r="N14" i="4"/>
  <c r="M14" i="4"/>
  <c r="L14" i="4"/>
  <c r="K14" i="4"/>
  <c r="J14" i="4"/>
  <c r="I14" i="4"/>
  <c r="H14" i="4"/>
  <c r="N8" i="4"/>
  <c r="Q4" i="4"/>
  <c r="Q8" i="4" s="1"/>
  <c r="P4" i="4"/>
  <c r="P8" i="4" s="1"/>
  <c r="O4" i="4"/>
  <c r="O8" i="4" s="1"/>
  <c r="N4" i="4"/>
  <c r="M4" i="4"/>
  <c r="L4" i="4"/>
  <c r="L8" i="4" s="1"/>
  <c r="K4" i="4"/>
  <c r="J4" i="4"/>
  <c r="J8" i="4" s="1"/>
  <c r="I4" i="4"/>
  <c r="H4" i="4"/>
  <c r="H8" i="4" s="1"/>
  <c r="F4" i="4"/>
  <c r="F8" i="4" s="1"/>
  <c r="D4" i="4"/>
  <c r="D8" i="4" s="1"/>
  <c r="V3" i="4"/>
  <c r="W3" i="4" s="1"/>
  <c r="X3" i="4" s="1"/>
  <c r="Y3" i="4" s="1"/>
  <c r="Z3" i="4" s="1"/>
  <c r="AA3" i="4" s="1"/>
  <c r="AB3" i="4" s="1"/>
  <c r="AC3" i="4" s="1"/>
  <c r="AD3" i="4" s="1"/>
  <c r="AE3" i="4" s="1"/>
  <c r="AF3" i="4" s="1"/>
  <c r="AG3" i="4" s="1"/>
  <c r="AH3" i="4" s="1"/>
  <c r="AI3" i="4" s="1"/>
  <c r="AJ3" i="4" s="1"/>
  <c r="AK3" i="4" s="1"/>
  <c r="AL3" i="4" s="1"/>
  <c r="AM3" i="4" s="1"/>
  <c r="AN3" i="4" s="1"/>
  <c r="AO3" i="4" s="1"/>
  <c r="F27" i="3"/>
  <c r="E9" i="3"/>
  <c r="F28" i="3"/>
  <c r="E11" i="3"/>
  <c r="E16" i="3" s="1"/>
  <c r="E20" i="3" s="1"/>
  <c r="F20" i="3"/>
  <c r="F16" i="3"/>
  <c r="F11" i="3"/>
  <c r="F9" i="3"/>
  <c r="D3" i="3"/>
  <c r="E3" i="3" s="1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N19" i="1"/>
  <c r="AO23" i="2" l="1"/>
  <c r="Q19" i="2"/>
  <c r="Q13" i="2"/>
  <c r="S40" i="2"/>
  <c r="R40" i="2"/>
  <c r="T28" i="2"/>
  <c r="W40" i="2"/>
  <c r="S28" i="2"/>
  <c r="P28" i="2"/>
  <c r="V28" i="2"/>
  <c r="S49" i="2"/>
  <c r="S51" i="2" s="1"/>
  <c r="V40" i="2"/>
  <c r="Q28" i="2"/>
  <c r="U28" i="2"/>
  <c r="V49" i="2"/>
  <c r="V51" i="2" s="1"/>
  <c r="U40" i="2"/>
  <c r="W49" i="2"/>
  <c r="W51" i="2" s="1"/>
  <c r="T49" i="2"/>
  <c r="T51" i="2" s="1"/>
  <c r="S25" i="2"/>
  <c r="P25" i="2"/>
  <c r="S11" i="2"/>
  <c r="S13" i="2" s="1"/>
  <c r="O49" i="2"/>
  <c r="O51" i="2" s="1"/>
  <c r="Q25" i="2"/>
  <c r="R25" i="2"/>
  <c r="R49" i="2"/>
  <c r="R51" i="2" s="1"/>
  <c r="Q49" i="2"/>
  <c r="Q51" i="2" s="1"/>
  <c r="P49" i="2"/>
  <c r="P51" i="2" s="1"/>
  <c r="R28" i="2"/>
  <c r="R11" i="2"/>
  <c r="R13" i="2" s="1"/>
  <c r="O19" i="2"/>
  <c r="O15" i="2"/>
  <c r="O56" i="2" s="1"/>
  <c r="P19" i="2"/>
  <c r="P15" i="2"/>
  <c r="P56" i="2" s="1"/>
  <c r="E26" i="3"/>
  <c r="I23" i="2"/>
  <c r="E23" i="2"/>
  <c r="G23" i="2"/>
  <c r="E24" i="2"/>
  <c r="G24" i="2"/>
  <c r="I24" i="2"/>
  <c r="G28" i="2"/>
  <c r="I42" i="2"/>
  <c r="S7" i="1" s="1"/>
  <c r="I41" i="2"/>
  <c r="I38" i="2"/>
  <c r="S6" i="1" s="1"/>
  <c r="I35" i="2"/>
  <c r="I10" i="2"/>
  <c r="I11" i="2" s="1"/>
  <c r="I13" i="2" s="1"/>
  <c r="G45" i="2"/>
  <c r="G41" i="2"/>
  <c r="G35" i="2"/>
  <c r="G34" i="2"/>
  <c r="E45" i="2"/>
  <c r="E42" i="2"/>
  <c r="E41" i="2"/>
  <c r="E35" i="2"/>
  <c r="E40" i="2" s="1"/>
  <c r="C45" i="2"/>
  <c r="C44" i="2"/>
  <c r="C42" i="2"/>
  <c r="C41" i="2"/>
  <c r="C35" i="2"/>
  <c r="C40" i="2" s="1"/>
  <c r="H42" i="2"/>
  <c r="H28" i="2" s="1"/>
  <c r="H41" i="2"/>
  <c r="H35" i="2"/>
  <c r="H40" i="2" s="1"/>
  <c r="F45" i="2"/>
  <c r="F42" i="2"/>
  <c r="F41" i="2"/>
  <c r="F35" i="2"/>
  <c r="F40" i="2" s="1"/>
  <c r="D45" i="2"/>
  <c r="D44" i="2"/>
  <c r="D42" i="2"/>
  <c r="D41" i="2"/>
  <c r="D35" i="2"/>
  <c r="D40" i="2" s="1"/>
  <c r="B45" i="2"/>
  <c r="B44" i="2"/>
  <c r="B42" i="2"/>
  <c r="B41" i="2"/>
  <c r="B35" i="2"/>
  <c r="B40" i="2" s="1"/>
  <c r="D4" i="2"/>
  <c r="H4" i="2"/>
  <c r="F4" i="2"/>
  <c r="F5" i="2"/>
  <c r="G40" i="2" l="1"/>
  <c r="G49" i="2"/>
  <c r="I40" i="2"/>
  <c r="I49" i="2"/>
  <c r="E49" i="2"/>
  <c r="H49" i="2"/>
  <c r="D49" i="2"/>
  <c r="S19" i="2"/>
  <c r="C49" i="2"/>
  <c r="B49" i="2"/>
  <c r="R19" i="2"/>
  <c r="Q15" i="2"/>
  <c r="Q21" i="2"/>
  <c r="O55" i="2"/>
  <c r="O20" i="2"/>
  <c r="O16" i="2"/>
  <c r="P55" i="2"/>
  <c r="P16" i="2"/>
  <c r="P20" i="2"/>
  <c r="S8" i="1"/>
  <c r="E27" i="3"/>
  <c r="E28" i="3"/>
  <c r="H23" i="2"/>
  <c r="F23" i="2"/>
  <c r="I28" i="2"/>
  <c r="I19" i="2"/>
  <c r="H14" i="2"/>
  <c r="H12" i="2"/>
  <c r="H9" i="2"/>
  <c r="H8" i="2"/>
  <c r="H7" i="2"/>
  <c r="H6" i="2"/>
  <c r="H5" i="2"/>
  <c r="I27" i="2" l="1"/>
  <c r="H27" i="2"/>
  <c r="Q55" i="2"/>
  <c r="Q56" i="2"/>
  <c r="Q20" i="2"/>
  <c r="S21" i="2"/>
  <c r="S15" i="2"/>
  <c r="S56" i="2" s="1"/>
  <c r="Q16" i="2"/>
  <c r="R21" i="2"/>
  <c r="R15" i="2"/>
  <c r="R56" i="2" s="1"/>
  <c r="I50" i="2"/>
  <c r="I21" i="2"/>
  <c r="I15" i="2"/>
  <c r="I16" i="2" s="1"/>
  <c r="H50" i="2"/>
  <c r="H51" i="2" s="1"/>
  <c r="H10" i="2"/>
  <c r="S55" i="2" l="1"/>
  <c r="S16" i="2"/>
  <c r="S20" i="2"/>
  <c r="R55" i="2"/>
  <c r="R20" i="2"/>
  <c r="R16" i="2"/>
  <c r="I51" i="2"/>
  <c r="I20" i="2"/>
  <c r="H11" i="2"/>
  <c r="H13" i="2" s="1"/>
  <c r="H19" i="2" l="1"/>
  <c r="H15" i="2"/>
  <c r="I55" i="2" s="1"/>
  <c r="I56" i="2" s="1"/>
  <c r="H21" i="2"/>
  <c r="H16" i="2" l="1"/>
  <c r="H20" i="2"/>
  <c r="W23" i="2" l="1"/>
  <c r="W10" i="2"/>
  <c r="X25" i="2" s="1"/>
  <c r="W11" i="2" l="1"/>
  <c r="W13" i="2" s="1"/>
  <c r="F44" i="2"/>
  <c r="F49" i="2" s="1"/>
  <c r="F28" i="2"/>
  <c r="B28" i="2"/>
  <c r="D28" i="2"/>
  <c r="C28" i="2"/>
  <c r="E28" i="2"/>
  <c r="U23" i="2"/>
  <c r="V23" i="2"/>
  <c r="D14" i="2"/>
  <c r="D12" i="2"/>
  <c r="D27" i="2" s="1"/>
  <c r="D9" i="2"/>
  <c r="D8" i="2"/>
  <c r="D7" i="2"/>
  <c r="D6" i="2"/>
  <c r="D5" i="2"/>
  <c r="F14" i="2"/>
  <c r="F12" i="2"/>
  <c r="G27" i="2" s="1"/>
  <c r="F9" i="2"/>
  <c r="F8" i="2"/>
  <c r="F7" i="2"/>
  <c r="F6" i="2"/>
  <c r="V10" i="2"/>
  <c r="U10" i="2"/>
  <c r="T10" i="2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C10" i="2"/>
  <c r="C11" i="2" s="1"/>
  <c r="E10" i="2"/>
  <c r="G10" i="2"/>
  <c r="E27" i="2" l="1"/>
  <c r="F27" i="2"/>
  <c r="C13" i="2"/>
  <c r="C15" i="2" s="1"/>
  <c r="C16" i="2" s="1"/>
  <c r="T11" i="2"/>
  <c r="T13" i="2" s="1"/>
  <c r="T25" i="2"/>
  <c r="T19" i="2"/>
  <c r="T15" i="2"/>
  <c r="U11" i="2"/>
  <c r="U25" i="2"/>
  <c r="V11" i="2"/>
  <c r="V25" i="2"/>
  <c r="W19" i="2"/>
  <c r="W25" i="2"/>
  <c r="E25" i="2"/>
  <c r="F10" i="2"/>
  <c r="F11" i="2" s="1"/>
  <c r="F13" i="2" s="1"/>
  <c r="F24" i="2"/>
  <c r="H24" i="2"/>
  <c r="G25" i="2"/>
  <c r="I25" i="2"/>
  <c r="G11" i="2"/>
  <c r="E11" i="2"/>
  <c r="W15" i="2"/>
  <c r="W21" i="2"/>
  <c r="D50" i="2"/>
  <c r="D51" i="2" s="1"/>
  <c r="E50" i="2"/>
  <c r="E51" i="2" s="1"/>
  <c r="B50" i="2"/>
  <c r="B51" i="2" s="1"/>
  <c r="C50" i="2"/>
  <c r="C51" i="2" s="1"/>
  <c r="F50" i="2"/>
  <c r="F51" i="2" s="1"/>
  <c r="D10" i="2"/>
  <c r="U19" i="2" l="1"/>
  <c r="U13" i="2"/>
  <c r="U15" i="2" s="1"/>
  <c r="E13" i="2"/>
  <c r="E15" i="2" s="1"/>
  <c r="E16" i="2" s="1"/>
  <c r="V19" i="2"/>
  <c r="V13" i="2"/>
  <c r="V15" i="2" s="1"/>
  <c r="G13" i="2"/>
  <c r="G15" i="2" s="1"/>
  <c r="W16" i="2"/>
  <c r="W55" i="2"/>
  <c r="W56" i="2"/>
  <c r="T16" i="2"/>
  <c r="T55" i="2"/>
  <c r="T56" i="2"/>
  <c r="F25" i="2"/>
  <c r="H25" i="2"/>
  <c r="G19" i="2"/>
  <c r="E19" i="2"/>
  <c r="F15" i="2"/>
  <c r="D11" i="2"/>
  <c r="W20" i="2"/>
  <c r="T20" i="2"/>
  <c r="G50" i="2"/>
  <c r="G51" i="2" s="1"/>
  <c r="C19" i="2"/>
  <c r="H55" i="2" l="1"/>
  <c r="H56" i="2" s="1"/>
  <c r="G16" i="2"/>
  <c r="D19" i="2"/>
  <c r="D13" i="2"/>
  <c r="G55" i="2"/>
  <c r="G56" i="2" s="1"/>
  <c r="U56" i="2"/>
  <c r="U55" i="2"/>
  <c r="V56" i="2"/>
  <c r="V55" i="2"/>
  <c r="U16" i="2"/>
  <c r="U20" i="2"/>
  <c r="V16" i="2"/>
  <c r="V20" i="2"/>
  <c r="F55" i="2"/>
  <c r="F56" i="2" s="1"/>
  <c r="F16" i="2"/>
  <c r="F19" i="2"/>
  <c r="D15" i="2"/>
  <c r="F20" i="2"/>
  <c r="C20" i="2"/>
  <c r="G20" i="2"/>
  <c r="D16" i="2" l="1"/>
  <c r="E55" i="2"/>
  <c r="E56" i="2" s="1"/>
  <c r="D55" i="2"/>
  <c r="D56" i="2" s="1"/>
  <c r="D20" i="2"/>
  <c r="E20" i="2"/>
  <c r="S5" i="1" l="1"/>
  <c r="S9" i="1" s="1"/>
  <c r="X15" i="2" l="1"/>
  <c r="X28" i="2" l="1"/>
  <c r="X16" i="2"/>
  <c r="X21" i="2"/>
  <c r="Y12" i="2" l="1"/>
  <c r="Y13" i="2" s="1"/>
  <c r="X20" i="2"/>
  <c r="Y14" i="2" l="1"/>
  <c r="Y21" i="2" s="1"/>
  <c r="Y15" i="2" l="1"/>
  <c r="Y20" i="2" s="1"/>
  <c r="Y28" i="2" l="1"/>
  <c r="Z12" i="2" s="1"/>
  <c r="Z13" i="2" s="1"/>
  <c r="Z14" i="2" s="1"/>
  <c r="Z21" i="2" s="1"/>
  <c r="Y16" i="2"/>
  <c r="Z15" i="2" l="1"/>
  <c r="Z16" i="2" l="1"/>
  <c r="Z28" i="2"/>
  <c r="AA12" i="2" s="1"/>
  <c r="AA13" i="2" s="1"/>
  <c r="AA14" i="2" s="1"/>
  <c r="AA21" i="2" s="1"/>
  <c r="Z20" i="2"/>
  <c r="AA15" i="2" l="1"/>
  <c r="AA20" i="2" s="1"/>
  <c r="AA28" i="2" l="1"/>
  <c r="AB12" i="2" s="1"/>
  <c r="AA16" i="2"/>
  <c r="AB13" i="2" l="1"/>
  <c r="AB14" i="2" l="1"/>
  <c r="AB21" i="2" s="1"/>
  <c r="AB15" i="2" l="1"/>
  <c r="AB16" i="2" s="1"/>
  <c r="AB20" i="2" l="1"/>
  <c r="AB28" i="2"/>
  <c r="AC12" i="2" s="1"/>
  <c r="AC13" i="2" l="1"/>
  <c r="AC14" i="2" l="1"/>
  <c r="AC21" i="2" s="1"/>
  <c r="AC15" i="2" l="1"/>
  <c r="AC16" i="2" s="1"/>
  <c r="AC28" i="2" l="1"/>
  <c r="AD12" i="2" s="1"/>
  <c r="AC20" i="2"/>
  <c r="AD13" i="2" l="1"/>
  <c r="AD14" i="2" l="1"/>
  <c r="AD21" i="2" s="1"/>
  <c r="AD15" i="2" l="1"/>
  <c r="AD16" i="2" s="1"/>
  <c r="AD28" i="2" l="1"/>
  <c r="AD20" i="2"/>
  <c r="AE12" i="2"/>
  <c r="AE13" i="2" l="1"/>
  <c r="AE14" i="2" l="1"/>
  <c r="AE21" i="2" s="1"/>
  <c r="AE15" i="2" l="1"/>
  <c r="AE16" i="2" s="1"/>
  <c r="AE20" i="2" l="1"/>
  <c r="AE28" i="2"/>
  <c r="AF12" i="2" l="1"/>
  <c r="AF13" i="2" l="1"/>
  <c r="AF14" i="2" l="1"/>
  <c r="AF21" i="2" s="1"/>
  <c r="AF15" i="2" l="1"/>
  <c r="AF16" i="2" s="1"/>
  <c r="AF28" i="2" l="1"/>
  <c r="AG12" i="2" s="1"/>
  <c r="AF20" i="2"/>
  <c r="AG13" i="2" l="1"/>
  <c r="AG14" i="2" l="1"/>
  <c r="AG21" i="2" s="1"/>
  <c r="AG15" i="2" l="1"/>
  <c r="AG16" i="2" s="1"/>
  <c r="AG28" i="2" l="1"/>
  <c r="AH12" i="2" s="1"/>
  <c r="AH13" i="2" s="1"/>
  <c r="AH14" i="2" s="1"/>
  <c r="AG20" i="2"/>
  <c r="AH15" i="2" l="1"/>
  <c r="AH21" i="2"/>
  <c r="AH28" i="2" l="1"/>
  <c r="AI12" i="2" s="1"/>
  <c r="AI13" i="2" s="1"/>
  <c r="AI14" i="2" s="1"/>
  <c r="AH20" i="2"/>
  <c r="AH16" i="2"/>
  <c r="AI15" i="2" l="1"/>
  <c r="AI21" i="2"/>
  <c r="AI28" i="2" l="1"/>
  <c r="AJ12" i="2" s="1"/>
  <c r="AJ13" i="2" s="1"/>
  <c r="AJ14" i="2" s="1"/>
  <c r="AI20" i="2"/>
  <c r="AI16" i="2"/>
  <c r="AJ15" i="2" l="1"/>
  <c r="AJ21" i="2"/>
  <c r="AJ28" i="2" l="1"/>
  <c r="AK12" i="2" s="1"/>
  <c r="AK13" i="2" s="1"/>
  <c r="AK14" i="2" s="1"/>
  <c r="AJ16" i="2"/>
  <c r="AJ20" i="2"/>
  <c r="AK15" i="2" l="1"/>
  <c r="AK21" i="2"/>
  <c r="AK28" i="2" l="1"/>
  <c r="AK16" i="2"/>
  <c r="AK20" i="2"/>
  <c r="AL12" i="2" l="1"/>
  <c r="AL13" i="2" s="1"/>
  <c r="AL14" i="2" s="1"/>
  <c r="AL15" i="2" l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AL21" i="2"/>
  <c r="EE15" i="2" l="1"/>
  <c r="EF15" i="2" s="1"/>
  <c r="EG15" i="2" s="1"/>
  <c r="EH15" i="2" s="1"/>
  <c r="EI15" i="2" s="1"/>
  <c r="AO22" i="2"/>
  <c r="AO24" i="2" s="1"/>
  <c r="AO25" i="2" s="1"/>
  <c r="AO26" i="2" s="1"/>
  <c r="AL16" i="2"/>
  <c r="AL20" i="2"/>
  <c r="AL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</authors>
  <commentList>
    <comment ref="X4" authorId="0" shapeId="0" xr:uid="{5B4B47D1-9E66-4F8D-AA15-EF02712B35CA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Guidance
1,20B - 1,25B</t>
        </r>
      </text>
    </comment>
  </commentList>
</comments>
</file>

<file path=xl/sharedStrings.xml><?xml version="1.0" encoding="utf-8"?>
<sst xmlns="http://schemas.openxmlformats.org/spreadsheetml/2006/main" count="174" uniqueCount="143">
  <si>
    <t>Basicfit</t>
  </si>
  <si>
    <t>(BFIT)</t>
  </si>
  <si>
    <t>(in millions)</t>
  </si>
  <si>
    <t>Price</t>
  </si>
  <si>
    <t>Shares</t>
  </si>
  <si>
    <t>MC</t>
  </si>
  <si>
    <t>Cash</t>
  </si>
  <si>
    <t>Debt</t>
  </si>
  <si>
    <t>EV</t>
  </si>
  <si>
    <t>Revenue</t>
  </si>
  <si>
    <t>D&amp;A</t>
  </si>
  <si>
    <t>Other expense</t>
  </si>
  <si>
    <t>Other income</t>
  </si>
  <si>
    <t>Operating expense</t>
  </si>
  <si>
    <t>Operating income</t>
  </si>
  <si>
    <t>Operating margin</t>
  </si>
  <si>
    <t>Net margin</t>
  </si>
  <si>
    <t>Taxe Rate</t>
  </si>
  <si>
    <t>Interest expense</t>
  </si>
  <si>
    <t>Pretax</t>
  </si>
  <si>
    <t>Taxes</t>
  </si>
  <si>
    <t>Net income</t>
  </si>
  <si>
    <t>EPS</t>
  </si>
  <si>
    <t>N/A</t>
  </si>
  <si>
    <t>Revenue y/y</t>
  </si>
  <si>
    <t>Goodwill</t>
  </si>
  <si>
    <t>PP&amp;E</t>
  </si>
  <si>
    <t>Deferred tax</t>
  </si>
  <si>
    <t>Derivative</t>
  </si>
  <si>
    <t>A/R</t>
  </si>
  <si>
    <t>Total assets</t>
  </si>
  <si>
    <t>Inventories</t>
  </si>
  <si>
    <t>Income tax</t>
  </si>
  <si>
    <t>Lease</t>
  </si>
  <si>
    <t>Provisions</t>
  </si>
  <si>
    <t>A/P</t>
  </si>
  <si>
    <t>Total liabilties</t>
  </si>
  <si>
    <t>S/E</t>
  </si>
  <si>
    <t>L S/E</t>
  </si>
  <si>
    <t>BeNeLux</t>
  </si>
  <si>
    <t>France</t>
  </si>
  <si>
    <t>Spain</t>
  </si>
  <si>
    <t>Germany</t>
  </si>
  <si>
    <t>Members</t>
  </si>
  <si>
    <t>Total clubs</t>
  </si>
  <si>
    <t>ARPU</t>
  </si>
  <si>
    <t>Avg energy bill will drop from approximately 55 thousand per club in 2023 to 35 thousand per club in 2024/2025</t>
  </si>
  <si>
    <t>Fitness equipment with a lifetime to 12 years.</t>
  </si>
  <si>
    <t>44% has a premium membership</t>
  </si>
  <si>
    <t>Invest associates</t>
  </si>
  <si>
    <t>CFFO</t>
  </si>
  <si>
    <t>CapEx</t>
  </si>
  <si>
    <t>FCF</t>
  </si>
  <si>
    <t>Members growth y/y</t>
  </si>
  <si>
    <t>ARPU growth y/y</t>
  </si>
  <si>
    <t>Other</t>
  </si>
  <si>
    <t>Revenue q/q</t>
  </si>
  <si>
    <t>Net cash</t>
  </si>
  <si>
    <t>Q221</t>
  </si>
  <si>
    <t>Q421</t>
  </si>
  <si>
    <t>Q222</t>
  </si>
  <si>
    <t>Q422</t>
  </si>
  <si>
    <t>Q223</t>
  </si>
  <si>
    <t>Q423</t>
  </si>
  <si>
    <t>Q121</t>
  </si>
  <si>
    <t>Q321</t>
  </si>
  <si>
    <t>Q122</t>
  </si>
  <si>
    <t>Q322</t>
  </si>
  <si>
    <t>Q123</t>
  </si>
  <si>
    <t>Q323</t>
  </si>
  <si>
    <t>Q124</t>
  </si>
  <si>
    <t>Consumables</t>
  </si>
  <si>
    <t>Q224</t>
  </si>
  <si>
    <t>Q324</t>
  </si>
  <si>
    <t>Q424</t>
  </si>
  <si>
    <t>Fitness membership revenue</t>
  </si>
  <si>
    <t>Other club revenue</t>
  </si>
  <si>
    <t>Non-club revenue</t>
  </si>
  <si>
    <t>Netherlands</t>
  </si>
  <si>
    <t>Belgium</t>
  </si>
  <si>
    <t>Luxembourg</t>
  </si>
  <si>
    <t>ROIC</t>
  </si>
  <si>
    <t>D&amp;A y/y</t>
  </si>
  <si>
    <t>OpEx y/y</t>
  </si>
  <si>
    <t>Q420</t>
  </si>
  <si>
    <t>Limonade Kraam</t>
  </si>
  <si>
    <t>Netto winst per jaar</t>
  </si>
  <si>
    <t>Aantal jaar schuld vrij</t>
  </si>
  <si>
    <t>Schuld</t>
  </si>
  <si>
    <t>Geld</t>
  </si>
  <si>
    <t>Club revenue</t>
  </si>
  <si>
    <t>Non club revenue</t>
  </si>
  <si>
    <t>Club personnel cost</t>
  </si>
  <si>
    <t>Other club operating cost</t>
  </si>
  <si>
    <t>Overhead</t>
  </si>
  <si>
    <t>Depreciation and impairment tangibles</t>
  </si>
  <si>
    <t>Amortisation and impairment intangibles</t>
  </si>
  <si>
    <t>Depreciation right-of-use assets</t>
  </si>
  <si>
    <t>COVID-19 rent credits</t>
  </si>
  <si>
    <t>Operating profit</t>
  </si>
  <si>
    <t>Finance costs</t>
  </si>
  <si>
    <t>Interest lease liabilities</t>
  </si>
  <si>
    <t>Corporation tax</t>
  </si>
  <si>
    <t>Net result</t>
  </si>
  <si>
    <t>Club EBITDA</t>
  </si>
  <si>
    <t>Rent cost</t>
  </si>
  <si>
    <t>Debt+Lease</t>
  </si>
  <si>
    <t>EBITDA</t>
  </si>
  <si>
    <t>EBITDA less rent</t>
  </si>
  <si>
    <t>Covenant threshold &lt; 3.5</t>
  </si>
  <si>
    <t>Maintenance capex 55 thousand a club per year in 2030</t>
  </si>
  <si>
    <t>Refurbish from 6 - 8 years to 12 years</t>
  </si>
  <si>
    <t>Mature clubs: Club that has been open for 24 months or more at the start of the year</t>
  </si>
  <si>
    <t>Right of use</t>
  </si>
  <si>
    <t>Working capital</t>
  </si>
  <si>
    <t>Assets held for sale</t>
  </si>
  <si>
    <t>Terminal value</t>
  </si>
  <si>
    <t>Discount value</t>
  </si>
  <si>
    <t>NPV</t>
  </si>
  <si>
    <t>Total value</t>
  </si>
  <si>
    <t>Upside</t>
  </si>
  <si>
    <t>CAGR</t>
  </si>
  <si>
    <t>Share</t>
  </si>
  <si>
    <t>Employee benefits</t>
  </si>
  <si>
    <t>Return on tangibles</t>
  </si>
  <si>
    <t>NI TTM</t>
  </si>
  <si>
    <t>Yield on cash</t>
  </si>
  <si>
    <t xml:space="preserve"> </t>
  </si>
  <si>
    <t>FY20</t>
  </si>
  <si>
    <t>HY21</t>
  </si>
  <si>
    <t>FY21</t>
  </si>
  <si>
    <t>HY22</t>
  </si>
  <si>
    <t>FY22</t>
  </si>
  <si>
    <t>HY23</t>
  </si>
  <si>
    <t>FY23</t>
  </si>
  <si>
    <t>HY24</t>
  </si>
  <si>
    <t>FY24</t>
  </si>
  <si>
    <t>CEO</t>
  </si>
  <si>
    <t>Rene Moos</t>
  </si>
  <si>
    <t>CFO</t>
  </si>
  <si>
    <t>Maurice de Kleer</t>
  </si>
  <si>
    <t>Hans van der Aar</t>
  </si>
  <si>
    <t>2013-2025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</si>
</sst>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00,"/>
    <numFmt numFmtId="165" formatCode="0\x"/>
    <numFmt numFmtId="166" formatCode="[$-413]d/mmm;@"/>
  </numFmts>
  <fonts count="1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28"/>
      <color theme="1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7">
    <xf numFmtId="0" fontId="0" fillId="0" borderId="0" xfId="0"/>
    <xf numFmtId="0" fontId="8" fillId="0" borderId="0" xfId="0" applyFont="1"/>
    <xf numFmtId="1" fontId="8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164" fontId="8" fillId="0" borderId="0" xfId="0" applyNumberFormat="1" applyFont="1" applyAlignment="1">
      <alignment horizontal="right"/>
    </xf>
    <xf numFmtId="9" fontId="8" fillId="0" borderId="0" xfId="1" applyFont="1"/>
    <xf numFmtId="9" fontId="8" fillId="0" borderId="0" xfId="1" applyFont="1" applyAlignment="1">
      <alignment horizontal="right"/>
    </xf>
    <xf numFmtId="9" fontId="11" fillId="0" borderId="0" xfId="1" applyFont="1"/>
    <xf numFmtId="9" fontId="11" fillId="0" borderId="0" xfId="1" applyFont="1" applyAlignment="1">
      <alignment horizontal="right"/>
    </xf>
    <xf numFmtId="9" fontId="8" fillId="0" borderId="0" xfId="0" applyNumberFormat="1" applyFont="1" applyAlignment="1">
      <alignment horizontal="right"/>
    </xf>
    <xf numFmtId="14" fontId="8" fillId="0" borderId="0" xfId="0" applyNumberFormat="1" applyFont="1"/>
    <xf numFmtId="14" fontId="8" fillId="0" borderId="0" xfId="0" applyNumberFormat="1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7" fillId="0" borderId="0" xfId="0" applyNumberFormat="1" applyFont="1"/>
    <xf numFmtId="3" fontId="11" fillId="0" borderId="0" xfId="0" applyNumberFormat="1" applyFont="1"/>
    <xf numFmtId="3" fontId="10" fillId="0" borderId="0" xfId="0" applyNumberFormat="1" applyFont="1"/>
    <xf numFmtId="4" fontId="8" fillId="0" borderId="0" xfId="0" applyNumberFormat="1" applyFont="1"/>
    <xf numFmtId="4" fontId="8" fillId="0" borderId="0" xfId="0" applyNumberFormat="1" applyFont="1" applyAlignment="1">
      <alignment horizontal="right"/>
    </xf>
    <xf numFmtId="4" fontId="8" fillId="0" borderId="0" xfId="1" applyNumberFormat="1" applyFont="1" applyAlignment="1">
      <alignment horizontal="right"/>
    </xf>
    <xf numFmtId="3" fontId="6" fillId="0" borderId="0" xfId="0" applyNumberFormat="1" applyFont="1"/>
    <xf numFmtId="3" fontId="6" fillId="0" borderId="0" xfId="0" applyNumberFormat="1" applyFont="1" applyAlignment="1">
      <alignment horizontal="right"/>
    </xf>
    <xf numFmtId="3" fontId="6" fillId="0" borderId="0" xfId="1" applyNumberFormat="1" applyFont="1" applyAlignment="1">
      <alignment horizontal="right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1" applyFont="1" applyAlignment="1">
      <alignment horizontal="right"/>
    </xf>
    <xf numFmtId="4" fontId="6" fillId="0" borderId="0" xfId="0" applyNumberFormat="1" applyFont="1"/>
    <xf numFmtId="9" fontId="6" fillId="0" borderId="0" xfId="0" applyNumberFormat="1" applyFont="1"/>
    <xf numFmtId="0" fontId="6" fillId="0" borderId="0" xfId="0" applyFont="1"/>
    <xf numFmtId="0" fontId="14" fillId="0" borderId="0" xfId="0" applyFont="1"/>
    <xf numFmtId="9" fontId="8" fillId="0" borderId="0" xfId="0" applyNumberFormat="1" applyFont="1"/>
    <xf numFmtId="10" fontId="8" fillId="0" borderId="0" xfId="0" applyNumberFormat="1" applyFont="1" applyAlignment="1">
      <alignment horizontal="right"/>
    </xf>
    <xf numFmtId="9" fontId="6" fillId="0" borderId="0" xfId="1" applyFont="1"/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4" fillId="0" borderId="0" xfId="0" applyFont="1"/>
    <xf numFmtId="165" fontId="6" fillId="0" borderId="0" xfId="0" applyNumberFormat="1" applyFont="1"/>
    <xf numFmtId="9" fontId="4" fillId="0" borderId="0" xfId="0" applyNumberFormat="1" applyFont="1"/>
    <xf numFmtId="0" fontId="3" fillId="0" borderId="0" xfId="0" applyFont="1"/>
    <xf numFmtId="3" fontId="3" fillId="0" borderId="0" xfId="0" applyNumberFormat="1" applyFont="1" applyAlignment="1">
      <alignment horizontal="left"/>
    </xf>
    <xf numFmtId="3" fontId="3" fillId="0" borderId="0" xfId="0" applyNumberFormat="1" applyFont="1"/>
    <xf numFmtId="4" fontId="3" fillId="0" borderId="0" xfId="0" applyNumberFormat="1" applyFont="1"/>
    <xf numFmtId="3" fontId="3" fillId="0" borderId="0" xfId="0" applyNumberFormat="1" applyFont="1" applyAlignment="1">
      <alignment horizontal="right"/>
    </xf>
    <xf numFmtId="166" fontId="8" fillId="0" borderId="0" xfId="0" applyNumberFormat="1" applyFont="1" applyAlignment="1">
      <alignment horizontal="right"/>
    </xf>
    <xf numFmtId="166" fontId="8" fillId="0" borderId="0" xfId="0" applyNumberFormat="1" applyFont="1"/>
    <xf numFmtId="166" fontId="6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9" fontId="3" fillId="0" borderId="0" xfId="1" applyFont="1" applyAlignment="1">
      <alignment horizontal="left"/>
    </xf>
    <xf numFmtId="9" fontId="3" fillId="0" borderId="0" xfId="0" applyNumberFormat="1" applyFont="1" applyAlignment="1">
      <alignment horizontal="left"/>
    </xf>
    <xf numFmtId="3" fontId="8" fillId="0" borderId="0" xfId="1" applyNumberFormat="1" applyFont="1" applyAlignment="1">
      <alignment horizontal="right"/>
    </xf>
    <xf numFmtId="3" fontId="3" fillId="0" borderId="0" xfId="1" applyNumberFormat="1" applyFont="1" applyAlignment="1">
      <alignment horizontal="right"/>
    </xf>
    <xf numFmtId="4" fontId="6" fillId="0" borderId="0" xfId="1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9" fontId="3" fillId="0" borderId="2" xfId="0" applyNumberFormat="1" applyFont="1" applyBorder="1" applyAlignment="1">
      <alignment horizontal="right"/>
    </xf>
    <xf numFmtId="9" fontId="3" fillId="0" borderId="3" xfId="0" applyNumberFormat="1" applyFont="1" applyBorder="1" applyAlignment="1">
      <alignment horizontal="right"/>
    </xf>
    <xf numFmtId="9" fontId="2" fillId="0" borderId="0" xfId="0" applyNumberFormat="1" applyFont="1"/>
    <xf numFmtId="3" fontId="2" fillId="0" borderId="0" xfId="0" applyNumberFormat="1" applyFont="1"/>
    <xf numFmtId="9" fontId="2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9</xdr:col>
      <xdr:colOff>19050</xdr:colOff>
      <xdr:row>59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D3FF78D-7810-A89B-8DEF-DC5CD4DDBC61}"/>
            </a:ext>
          </a:extLst>
        </xdr:cNvPr>
        <xdr:cNvCxnSpPr/>
      </xdr:nvCxnSpPr>
      <xdr:spPr>
        <a:xfrm>
          <a:off x="7077075" y="0"/>
          <a:ext cx="0" cy="101727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28575</xdr:colOff>
      <xdr:row>0</xdr:row>
      <xdr:rowOff>57150</xdr:rowOff>
    </xdr:from>
    <xdr:to>
      <xdr:col>23</xdr:col>
      <xdr:colOff>28575</xdr:colOff>
      <xdr:row>58</xdr:row>
      <xdr:rowOff>85725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3F2EDFC-F2E4-4306-91DA-2454D9ED413F}"/>
            </a:ext>
          </a:extLst>
        </xdr:cNvPr>
        <xdr:cNvCxnSpPr/>
      </xdr:nvCxnSpPr>
      <xdr:spPr>
        <a:xfrm>
          <a:off x="16297275" y="57150"/>
          <a:ext cx="0" cy="1003935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82BA-64A9-4E52-9E77-CF726F3A15B0}">
  <dimension ref="A1:V23"/>
  <sheetViews>
    <sheetView workbookViewId="0">
      <selection activeCell="U14" sqref="U14"/>
    </sheetView>
  </sheetViews>
  <sheetFormatPr defaultRowHeight="12.75" x14ac:dyDescent="0.2"/>
  <cols>
    <col min="1" max="1" width="17.5703125" style="31" bestFit="1" customWidth="1"/>
    <col min="2" max="2" width="9.140625" style="31"/>
    <col min="3" max="3" width="9" style="31" customWidth="1"/>
    <col min="4" max="12" width="9.140625" style="31"/>
    <col min="13" max="13" width="18.85546875" style="31" bestFit="1" customWidth="1"/>
    <col min="14" max="16384" width="9.140625" style="31"/>
  </cols>
  <sheetData>
    <row r="1" spans="1:22" ht="30" x14ac:dyDescent="0.4">
      <c r="A1" s="32" t="s">
        <v>0</v>
      </c>
    </row>
    <row r="2" spans="1:22" x14ac:dyDescent="0.2">
      <c r="A2" s="31" t="s">
        <v>1</v>
      </c>
    </row>
    <row r="3" spans="1:22" x14ac:dyDescent="0.2">
      <c r="A3" s="31" t="s">
        <v>2</v>
      </c>
      <c r="C3" s="31" t="s">
        <v>46</v>
      </c>
      <c r="R3" s="31" t="s">
        <v>3</v>
      </c>
      <c r="S3" s="31">
        <v>24.5</v>
      </c>
    </row>
    <row r="4" spans="1:22" x14ac:dyDescent="0.2">
      <c r="C4" s="31" t="s">
        <v>47</v>
      </c>
      <c r="R4" s="31" t="s">
        <v>4</v>
      </c>
      <c r="S4" s="22">
        <v>66</v>
      </c>
      <c r="T4" s="25" t="s">
        <v>72</v>
      </c>
    </row>
    <row r="5" spans="1:22" x14ac:dyDescent="0.2">
      <c r="C5" s="31" t="s">
        <v>48</v>
      </c>
      <c r="R5" s="31" t="s">
        <v>5</v>
      </c>
      <c r="S5" s="22">
        <f>+S3*S4</f>
        <v>1617</v>
      </c>
      <c r="T5" s="25"/>
    </row>
    <row r="6" spans="1:22" x14ac:dyDescent="0.2">
      <c r="R6" s="31" t="s">
        <v>6</v>
      </c>
      <c r="S6" s="22">
        <f>+Model!I38</f>
        <v>35.042000000000002</v>
      </c>
      <c r="T6" s="25" t="s">
        <v>72</v>
      </c>
    </row>
    <row r="7" spans="1:22" x14ac:dyDescent="0.2">
      <c r="C7" s="41" t="s">
        <v>111</v>
      </c>
      <c r="R7" s="31" t="s">
        <v>7</v>
      </c>
      <c r="S7" s="22">
        <f>+Model!I42</f>
        <v>978.84299999999996</v>
      </c>
      <c r="T7" s="25" t="s">
        <v>72</v>
      </c>
      <c r="V7" s="22"/>
    </row>
    <row r="8" spans="1:22" x14ac:dyDescent="0.2">
      <c r="R8" s="38" t="s">
        <v>57</v>
      </c>
      <c r="S8" s="22">
        <f>+S6-S7</f>
        <v>-943.80099999999993</v>
      </c>
      <c r="V8" s="22"/>
    </row>
    <row r="9" spans="1:22" x14ac:dyDescent="0.2">
      <c r="C9" s="41" t="s">
        <v>110</v>
      </c>
      <c r="R9" s="31" t="s">
        <v>8</v>
      </c>
      <c r="S9" s="22">
        <f>+S5-S6+S7</f>
        <v>2560.8009999999999</v>
      </c>
    </row>
    <row r="10" spans="1:22" x14ac:dyDescent="0.2">
      <c r="S10" s="38"/>
    </row>
    <row r="11" spans="1:22" x14ac:dyDescent="0.2">
      <c r="C11" s="41" t="s">
        <v>112</v>
      </c>
      <c r="R11" s="66" t="s">
        <v>137</v>
      </c>
      <c r="S11" s="66" t="s">
        <v>138</v>
      </c>
    </row>
    <row r="12" spans="1:22" x14ac:dyDescent="0.2">
      <c r="R12" s="66" t="s">
        <v>139</v>
      </c>
      <c r="S12" s="66" t="s">
        <v>140</v>
      </c>
      <c r="U12" s="31">
        <v>2025</v>
      </c>
    </row>
    <row r="13" spans="1:22" x14ac:dyDescent="0.2">
      <c r="S13" s="66" t="s">
        <v>141</v>
      </c>
      <c r="U13" s="66" t="s">
        <v>142</v>
      </c>
    </row>
    <row r="15" spans="1:22" x14ac:dyDescent="0.2">
      <c r="M15" s="63" t="s">
        <v>85</v>
      </c>
      <c r="N15" s="63"/>
    </row>
    <row r="16" spans="1:22" x14ac:dyDescent="0.2">
      <c r="M16" s="38" t="s">
        <v>89</v>
      </c>
      <c r="N16" s="31">
        <v>40</v>
      </c>
    </row>
    <row r="17" spans="13:15" x14ac:dyDescent="0.2">
      <c r="M17" s="38" t="s">
        <v>88</v>
      </c>
      <c r="N17" s="31">
        <v>1000</v>
      </c>
      <c r="O17" s="40"/>
    </row>
    <row r="18" spans="13:15" x14ac:dyDescent="0.2">
      <c r="M18" s="38" t="s">
        <v>86</v>
      </c>
      <c r="N18" s="31">
        <v>12</v>
      </c>
    </row>
    <row r="19" spans="13:15" x14ac:dyDescent="0.2">
      <c r="M19" s="38" t="s">
        <v>87</v>
      </c>
      <c r="N19" s="39">
        <f>+N17/N18</f>
        <v>83.333333333333329</v>
      </c>
    </row>
    <row r="21" spans="13:15" x14ac:dyDescent="0.2">
      <c r="M21" s="38"/>
    </row>
    <row r="22" spans="13:15" x14ac:dyDescent="0.2">
      <c r="M22" s="38"/>
    </row>
    <row r="23" spans="13:15" x14ac:dyDescent="0.2">
      <c r="O23" s="30"/>
    </row>
  </sheetData>
  <mergeCells count="1">
    <mergeCell ref="M15:N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07C19-DF86-400E-B0A6-7932215190A9}">
  <dimension ref="A1:EI10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6" sqref="K56"/>
    </sheetView>
  </sheetViews>
  <sheetFormatPr defaultRowHeight="15" x14ac:dyDescent="0.25"/>
  <cols>
    <col min="1" max="1" width="24.7109375" style="4" bestFit="1" customWidth="1"/>
    <col min="2" max="2" width="10.140625" style="4" customWidth="1"/>
    <col min="3" max="7" width="10.140625" style="3" customWidth="1"/>
    <col min="8" max="8" width="10.140625" style="23" customWidth="1"/>
    <col min="9" max="9" width="10.140625" style="3" customWidth="1"/>
    <col min="10" max="10" width="9.85546875" style="3" customWidth="1"/>
    <col min="11" max="11" width="10.140625" style="3" customWidth="1"/>
    <col min="15" max="17" width="10.140625" bestFit="1" customWidth="1"/>
    <col min="18" max="18" width="9.85546875" style="3" customWidth="1"/>
    <col min="19" max="22" width="10.140625" style="3" bestFit="1" customWidth="1"/>
    <col min="23" max="23" width="9.85546875" style="3" customWidth="1"/>
    <col min="24" max="34" width="9.140625" style="3"/>
    <col min="35" max="35" width="9.140625" style="3" customWidth="1"/>
    <col min="36" max="39" width="9.140625" style="3"/>
    <col min="40" max="40" width="13.140625" style="3" bestFit="1" customWidth="1"/>
    <col min="41" max="16384" width="9.140625" style="3"/>
  </cols>
  <sheetData>
    <row r="1" spans="1:139" s="4" customFormat="1" ht="34.5" x14ac:dyDescent="0.45">
      <c r="A1" s="18" t="s">
        <v>0</v>
      </c>
      <c r="B1" s="18"/>
      <c r="H1" s="22"/>
    </row>
    <row r="2" spans="1:139" s="13" customFormat="1" ht="13.5" thickBot="1" x14ac:dyDescent="0.25">
      <c r="A2" s="12" t="s">
        <v>1</v>
      </c>
      <c r="B2" s="47">
        <v>44196</v>
      </c>
      <c r="C2" s="46">
        <v>44377</v>
      </c>
      <c r="D2" s="46">
        <v>44561</v>
      </c>
      <c r="E2" s="46">
        <v>44742</v>
      </c>
      <c r="F2" s="46">
        <v>44926</v>
      </c>
      <c r="G2" s="46">
        <v>45107</v>
      </c>
      <c r="H2" s="48">
        <v>45291</v>
      </c>
      <c r="I2" s="46">
        <v>45473</v>
      </c>
      <c r="J2" s="46">
        <v>45657</v>
      </c>
      <c r="O2" s="46">
        <v>42369</v>
      </c>
      <c r="P2" s="46">
        <v>42735</v>
      </c>
      <c r="Q2" s="46">
        <v>43100</v>
      </c>
      <c r="R2" s="46">
        <v>43465</v>
      </c>
      <c r="S2" s="46">
        <v>43830</v>
      </c>
      <c r="T2" s="46">
        <v>44196</v>
      </c>
      <c r="U2" s="46">
        <v>44561</v>
      </c>
      <c r="V2" s="46">
        <v>44926</v>
      </c>
      <c r="W2" s="46">
        <v>45291</v>
      </c>
    </row>
    <row r="3" spans="1:139" ht="12.75" x14ac:dyDescent="0.2">
      <c r="A3" s="1" t="s">
        <v>2</v>
      </c>
      <c r="B3" s="64" t="s">
        <v>128</v>
      </c>
      <c r="C3" s="65" t="s">
        <v>129</v>
      </c>
      <c r="D3" s="65" t="s">
        <v>130</v>
      </c>
      <c r="E3" s="65" t="s">
        <v>131</v>
      </c>
      <c r="F3" s="65" t="s">
        <v>132</v>
      </c>
      <c r="G3" s="65" t="s">
        <v>133</v>
      </c>
      <c r="H3" s="65" t="s">
        <v>134</v>
      </c>
      <c r="I3" s="65" t="s">
        <v>135</v>
      </c>
      <c r="J3" s="65" t="s">
        <v>136</v>
      </c>
      <c r="K3" s="14"/>
      <c r="L3" s="3"/>
      <c r="M3" s="56" t="s">
        <v>121</v>
      </c>
      <c r="N3" s="45"/>
      <c r="O3" s="5">
        <v>2015</v>
      </c>
      <c r="P3" s="5">
        <v>2016</v>
      </c>
      <c r="Q3" s="5">
        <f>+P3+1</f>
        <v>2017</v>
      </c>
      <c r="R3" s="5">
        <f>+Q3+1</f>
        <v>2018</v>
      </c>
      <c r="S3" s="5">
        <f>+R3+1</f>
        <v>2019</v>
      </c>
      <c r="T3" s="2">
        <v>2020</v>
      </c>
      <c r="U3" s="2">
        <f>+T3+1</f>
        <v>2021</v>
      </c>
      <c r="V3" s="2">
        <f t="shared" ref="V3:AG3" si="0">+U3+1</f>
        <v>2022</v>
      </c>
      <c r="W3" s="2">
        <f t="shared" si="0"/>
        <v>2023</v>
      </c>
      <c r="X3" s="2">
        <f t="shared" si="0"/>
        <v>2024</v>
      </c>
      <c r="Y3" s="2">
        <f t="shared" si="0"/>
        <v>2025</v>
      </c>
      <c r="Z3" s="2">
        <f t="shared" si="0"/>
        <v>2026</v>
      </c>
      <c r="AA3" s="2">
        <f t="shared" si="0"/>
        <v>2027</v>
      </c>
      <c r="AB3" s="2">
        <f t="shared" si="0"/>
        <v>2028</v>
      </c>
      <c r="AC3" s="2">
        <f t="shared" si="0"/>
        <v>2029</v>
      </c>
      <c r="AD3" s="2">
        <f t="shared" si="0"/>
        <v>2030</v>
      </c>
      <c r="AE3" s="2">
        <f t="shared" si="0"/>
        <v>2031</v>
      </c>
      <c r="AF3" s="2">
        <f t="shared" si="0"/>
        <v>2032</v>
      </c>
      <c r="AG3" s="2">
        <f t="shared" si="0"/>
        <v>2033</v>
      </c>
      <c r="AH3" s="2">
        <f t="shared" ref="AH3" si="1">+AG3+1</f>
        <v>2034</v>
      </c>
      <c r="AI3" s="2">
        <f t="shared" ref="AI3" si="2">+AH3+1</f>
        <v>2035</v>
      </c>
      <c r="AJ3" s="2">
        <f t="shared" ref="AJ3" si="3">+AI3+1</f>
        <v>2036</v>
      </c>
      <c r="AK3" s="2">
        <f t="shared" ref="AK3" si="4">+AJ3+1</f>
        <v>2037</v>
      </c>
      <c r="AL3" s="2">
        <f t="shared" ref="AL3" si="5">+AK3+1</f>
        <v>2038</v>
      </c>
      <c r="AM3" s="2"/>
      <c r="AN3" s="2"/>
    </row>
    <row r="4" spans="1:139" s="15" customFormat="1" ht="12.75" x14ac:dyDescent="0.2">
      <c r="A4" s="17" t="s">
        <v>9</v>
      </c>
      <c r="B4" s="17"/>
      <c r="C4" s="15">
        <v>52.956000000000003</v>
      </c>
      <c r="D4" s="15">
        <f t="shared" ref="D4:D9" si="6">+U4-C4</f>
        <v>287.78999999999996</v>
      </c>
      <c r="E4" s="15">
        <v>354.613</v>
      </c>
      <c r="F4" s="15">
        <f>+V4-E4</f>
        <v>439.95800000000003</v>
      </c>
      <c r="G4" s="15">
        <v>500.42</v>
      </c>
      <c r="H4" s="15">
        <f t="shared" ref="H4:H9" si="7">+W4-G4</f>
        <v>546.827</v>
      </c>
      <c r="I4" s="15">
        <v>585</v>
      </c>
      <c r="M4" s="57">
        <f t="shared" ref="M4:M9" si="8">(W4/O4)^(1/9)-1</f>
        <v>0.20048809659891553</v>
      </c>
      <c r="N4" s="50"/>
      <c r="O4" s="15">
        <v>202.22200000000001</v>
      </c>
      <c r="P4" s="15">
        <v>258.56099999999998</v>
      </c>
      <c r="Q4" s="15">
        <v>325.83100000000002</v>
      </c>
      <c r="R4" s="15">
        <v>401.78399999999999</v>
      </c>
      <c r="S4" s="15">
        <v>515.15899999999999</v>
      </c>
      <c r="T4" s="15">
        <v>376.81099999999998</v>
      </c>
      <c r="U4" s="15">
        <v>340.74599999999998</v>
      </c>
      <c r="V4" s="15">
        <v>794.57100000000003</v>
      </c>
      <c r="W4" s="15">
        <v>1047.2470000000001</v>
      </c>
      <c r="X4" s="15">
        <v>1225</v>
      </c>
      <c r="Y4" s="15">
        <f>+X4*1.15</f>
        <v>1408.75</v>
      </c>
      <c r="Z4" s="15">
        <f t="shared" ref="Z4:AL4" si="9">+Y4*1.15</f>
        <v>1620.0624999999998</v>
      </c>
      <c r="AA4" s="15">
        <f t="shared" si="9"/>
        <v>1863.0718749999996</v>
      </c>
      <c r="AB4" s="15">
        <f t="shared" si="9"/>
        <v>2142.5326562499995</v>
      </c>
      <c r="AC4" s="15">
        <f t="shared" si="9"/>
        <v>2463.9125546874993</v>
      </c>
      <c r="AD4" s="15">
        <f t="shared" si="9"/>
        <v>2833.499437890624</v>
      </c>
      <c r="AE4" s="15">
        <f t="shared" si="9"/>
        <v>3258.5243535742175</v>
      </c>
      <c r="AF4" s="15">
        <f t="shared" si="9"/>
        <v>3747.3030066103497</v>
      </c>
      <c r="AG4" s="15">
        <f t="shared" si="9"/>
        <v>4309.398457601902</v>
      </c>
      <c r="AH4" s="15">
        <f t="shared" si="9"/>
        <v>4955.8082262421867</v>
      </c>
      <c r="AI4" s="15">
        <f t="shared" si="9"/>
        <v>5699.1794601785141</v>
      </c>
      <c r="AJ4" s="15">
        <f t="shared" si="9"/>
        <v>6554.0563792052908</v>
      </c>
      <c r="AK4" s="15">
        <f t="shared" si="9"/>
        <v>7537.1648360860836</v>
      </c>
      <c r="AL4" s="15">
        <f t="shared" si="9"/>
        <v>8667.7395614989946</v>
      </c>
    </row>
    <row r="5" spans="1:139" ht="12.75" x14ac:dyDescent="0.2">
      <c r="A5" s="16" t="s">
        <v>71</v>
      </c>
      <c r="B5" s="16"/>
      <c r="C5" s="3">
        <v>4.7880000000000003</v>
      </c>
      <c r="D5" s="3">
        <f t="shared" si="6"/>
        <v>9.113999999999999</v>
      </c>
      <c r="E5" s="3">
        <v>14.266999999999999</v>
      </c>
      <c r="F5" s="3">
        <f>+V5-G5</f>
        <v>4.6099999999999994</v>
      </c>
      <c r="G5" s="3">
        <v>17.788</v>
      </c>
      <c r="H5" s="23">
        <f t="shared" si="7"/>
        <v>13.794999999999998</v>
      </c>
      <c r="I5" s="3">
        <v>18.773</v>
      </c>
      <c r="L5" s="3"/>
      <c r="M5" s="57">
        <f t="shared" si="8"/>
        <v>0.44359022396624748</v>
      </c>
      <c r="N5" s="11"/>
      <c r="O5" s="3">
        <v>1.1599999999999999</v>
      </c>
      <c r="P5" s="3">
        <v>2.3159999999999998</v>
      </c>
      <c r="Q5" s="3">
        <v>3.6829999999999998</v>
      </c>
      <c r="R5" s="3">
        <v>6.3949999999999996</v>
      </c>
      <c r="S5" s="3">
        <v>14.340999999999999</v>
      </c>
      <c r="T5" s="3">
        <v>14.456</v>
      </c>
      <c r="U5" s="3">
        <v>13.901999999999999</v>
      </c>
      <c r="V5" s="3">
        <v>22.398</v>
      </c>
      <c r="W5" s="3">
        <v>31.582999999999998</v>
      </c>
      <c r="X5" s="3">
        <f>+W5*1.2</f>
        <v>37.8996</v>
      </c>
      <c r="Y5" s="3">
        <f t="shared" ref="Y5:AL5" si="10">+X5*1.2</f>
        <v>45.479520000000001</v>
      </c>
      <c r="Z5" s="3">
        <f t="shared" si="10"/>
        <v>54.575423999999998</v>
      </c>
      <c r="AA5" s="3">
        <f t="shared" si="10"/>
        <v>65.490508800000001</v>
      </c>
      <c r="AB5" s="3">
        <f t="shared" si="10"/>
        <v>78.588610559999992</v>
      </c>
      <c r="AC5" s="3">
        <f t="shared" si="10"/>
        <v>94.306332671999982</v>
      </c>
      <c r="AD5" s="3">
        <f t="shared" si="10"/>
        <v>113.16759920639997</v>
      </c>
      <c r="AE5" s="3">
        <f t="shared" si="10"/>
        <v>135.80111904767995</v>
      </c>
      <c r="AF5" s="3">
        <f t="shared" si="10"/>
        <v>162.96134285721593</v>
      </c>
      <c r="AG5" s="3">
        <f t="shared" si="10"/>
        <v>195.55361142865911</v>
      </c>
      <c r="AH5" s="3">
        <f t="shared" si="10"/>
        <v>234.66433371439092</v>
      </c>
      <c r="AI5" s="3">
        <f t="shared" si="10"/>
        <v>281.59720045726908</v>
      </c>
      <c r="AJ5" s="3">
        <f t="shared" si="10"/>
        <v>337.91664054872291</v>
      </c>
      <c r="AK5" s="3">
        <f t="shared" si="10"/>
        <v>405.49996865846748</v>
      </c>
      <c r="AL5" s="3">
        <f t="shared" si="10"/>
        <v>486.59996239016095</v>
      </c>
    </row>
    <row r="6" spans="1:139" ht="12.75" x14ac:dyDescent="0.2">
      <c r="A6" s="43" t="s">
        <v>123</v>
      </c>
      <c r="B6" s="16"/>
      <c r="C6" s="3">
        <v>20.431999999999999</v>
      </c>
      <c r="D6" s="3">
        <f t="shared" si="6"/>
        <v>61.073999999999998</v>
      </c>
      <c r="E6" s="3">
        <v>70.641999999999996</v>
      </c>
      <c r="F6" s="3">
        <f>+V6-G6</f>
        <v>57.741</v>
      </c>
      <c r="G6" s="3">
        <v>90.037999999999997</v>
      </c>
      <c r="H6" s="23">
        <f t="shared" si="7"/>
        <v>91.029000000000011</v>
      </c>
      <c r="I6" s="3">
        <v>105.44499999999999</v>
      </c>
      <c r="L6" s="3"/>
      <c r="M6" s="57">
        <f t="shared" si="8"/>
        <v>0.18350292632585119</v>
      </c>
      <c r="N6" s="11"/>
      <c r="O6" s="3">
        <v>39.747999999999998</v>
      </c>
      <c r="P6" s="3">
        <v>51.500999999999998</v>
      </c>
      <c r="Q6" s="3">
        <v>61.774999999999999</v>
      </c>
      <c r="R6" s="3">
        <v>70.834000000000003</v>
      </c>
      <c r="S6" s="3">
        <v>89.331999999999994</v>
      </c>
      <c r="T6" s="3">
        <v>76.406999999999996</v>
      </c>
      <c r="U6" s="3">
        <v>81.506</v>
      </c>
      <c r="V6" s="3">
        <v>147.779</v>
      </c>
      <c r="W6" s="3">
        <v>181.06700000000001</v>
      </c>
      <c r="X6" s="3">
        <f>+W6*1.12</f>
        <v>202.79504000000003</v>
      </c>
      <c r="Y6" s="3">
        <f t="shared" ref="Y6:AL6" si="11">+X6*1.12</f>
        <v>227.13044480000005</v>
      </c>
      <c r="Z6" s="3">
        <f t="shared" si="11"/>
        <v>254.38609817600008</v>
      </c>
      <c r="AA6" s="3">
        <f t="shared" si="11"/>
        <v>284.91242995712014</v>
      </c>
      <c r="AB6" s="3">
        <f t="shared" si="11"/>
        <v>319.10192155197461</v>
      </c>
      <c r="AC6" s="3">
        <f t="shared" si="11"/>
        <v>357.39415213821161</v>
      </c>
      <c r="AD6" s="3">
        <f t="shared" si="11"/>
        <v>400.28145039479705</v>
      </c>
      <c r="AE6" s="3">
        <f t="shared" si="11"/>
        <v>448.31522444217273</v>
      </c>
      <c r="AF6" s="3">
        <f t="shared" si="11"/>
        <v>502.11305137523351</v>
      </c>
      <c r="AG6" s="3">
        <f t="shared" si="11"/>
        <v>562.36661754026159</v>
      </c>
      <c r="AH6" s="3">
        <f t="shared" si="11"/>
        <v>629.85061164509307</v>
      </c>
      <c r="AI6" s="3">
        <f t="shared" si="11"/>
        <v>705.43268504250432</v>
      </c>
      <c r="AJ6" s="3">
        <f t="shared" si="11"/>
        <v>790.08460724760494</v>
      </c>
      <c r="AK6" s="3">
        <f t="shared" si="11"/>
        <v>884.89476011731756</v>
      </c>
      <c r="AL6" s="3">
        <f t="shared" si="11"/>
        <v>991.08213133139577</v>
      </c>
    </row>
    <row r="7" spans="1:139" ht="12.75" x14ac:dyDescent="0.2">
      <c r="A7" s="4" t="s">
        <v>10</v>
      </c>
      <c r="C7" s="3">
        <v>137.28200000000001</v>
      </c>
      <c r="D7" s="3">
        <f t="shared" si="6"/>
        <v>146.59899999999996</v>
      </c>
      <c r="E7" s="3">
        <v>155.87299999999999</v>
      </c>
      <c r="F7" s="3">
        <f>+V7-G7</f>
        <v>146.083</v>
      </c>
      <c r="G7" s="3">
        <v>185.30600000000001</v>
      </c>
      <c r="H7" s="23">
        <f t="shared" si="7"/>
        <v>205.63199999999998</v>
      </c>
      <c r="I7" s="3">
        <v>211</v>
      </c>
      <c r="L7" s="3"/>
      <c r="M7" s="57">
        <f t="shared" si="8"/>
        <v>0.26247997671540424</v>
      </c>
      <c r="N7" s="11"/>
      <c r="O7" s="3">
        <v>47.982999999999997</v>
      </c>
      <c r="P7" s="3">
        <v>65.355999999999995</v>
      </c>
      <c r="Q7" s="3">
        <v>75.397999999999996</v>
      </c>
      <c r="R7" s="3">
        <v>89.400999999999996</v>
      </c>
      <c r="S7" s="3">
        <v>211.92599999999999</v>
      </c>
      <c r="T7" s="3">
        <v>260.59300000000002</v>
      </c>
      <c r="U7" s="3">
        <v>283.88099999999997</v>
      </c>
      <c r="V7" s="3">
        <v>331.38900000000001</v>
      </c>
      <c r="W7" s="3">
        <v>390.93799999999999</v>
      </c>
      <c r="X7" s="3">
        <f>+W7*1.18</f>
        <v>461.30683999999997</v>
      </c>
      <c r="Y7" s="3">
        <f t="shared" ref="Y7:AL7" si="12">+X7*1.18</f>
        <v>544.34207119999996</v>
      </c>
      <c r="Z7" s="3">
        <f t="shared" si="12"/>
        <v>642.32364401599989</v>
      </c>
      <c r="AA7" s="3">
        <f t="shared" si="12"/>
        <v>757.94189993887983</v>
      </c>
      <c r="AB7" s="3">
        <f t="shared" si="12"/>
        <v>894.3714419278781</v>
      </c>
      <c r="AC7" s="3">
        <f t="shared" si="12"/>
        <v>1055.3583014748961</v>
      </c>
      <c r="AD7" s="3">
        <f t="shared" si="12"/>
        <v>1245.3227957403774</v>
      </c>
      <c r="AE7" s="3">
        <f t="shared" si="12"/>
        <v>1469.4808989736453</v>
      </c>
      <c r="AF7" s="3">
        <f t="shared" si="12"/>
        <v>1733.9874607889012</v>
      </c>
      <c r="AG7" s="3">
        <f t="shared" si="12"/>
        <v>2046.1052037309034</v>
      </c>
      <c r="AH7" s="3">
        <f t="shared" si="12"/>
        <v>2414.4041404024661</v>
      </c>
      <c r="AI7" s="3">
        <f t="shared" si="12"/>
        <v>2848.9968856749097</v>
      </c>
      <c r="AJ7" s="3">
        <f t="shared" si="12"/>
        <v>3361.816325096393</v>
      </c>
      <c r="AK7" s="3">
        <f t="shared" si="12"/>
        <v>3966.9432636137435</v>
      </c>
      <c r="AL7" s="3">
        <f t="shared" si="12"/>
        <v>4680.9930510642171</v>
      </c>
    </row>
    <row r="8" spans="1:139" ht="12.75" x14ac:dyDescent="0.2">
      <c r="A8" s="4" t="s">
        <v>12</v>
      </c>
      <c r="C8" s="3">
        <v>-11.496</v>
      </c>
      <c r="D8" s="3">
        <f t="shared" si="6"/>
        <v>-26.001999999999995</v>
      </c>
      <c r="E8" s="3">
        <v>-0.45600000000000002</v>
      </c>
      <c r="F8" s="3">
        <f>+V8-G8</f>
        <v>-3.9640000000000004</v>
      </c>
      <c r="G8" s="3">
        <v>-0.28699999999999998</v>
      </c>
      <c r="H8" s="23">
        <f t="shared" si="7"/>
        <v>-6.5810000000000004</v>
      </c>
      <c r="I8" s="3">
        <v>0.69499999999999995</v>
      </c>
      <c r="L8" s="3"/>
      <c r="M8" s="57">
        <f t="shared" si="8"/>
        <v>0.16194030165117734</v>
      </c>
      <c r="N8" s="11"/>
      <c r="O8" s="3">
        <v>-1.7789999999999999</v>
      </c>
      <c r="P8" s="3">
        <v>-0.78</v>
      </c>
      <c r="Q8" s="3">
        <v>-0.92200000000000004</v>
      </c>
      <c r="R8" s="3">
        <v>-1.921</v>
      </c>
      <c r="S8" s="3">
        <v>-3.3759999999999999</v>
      </c>
      <c r="T8" s="3">
        <v>-3.7440000000000002</v>
      </c>
      <c r="U8" s="3">
        <v>-37.497999999999998</v>
      </c>
      <c r="V8" s="3">
        <v>-4.2510000000000003</v>
      </c>
      <c r="W8" s="3">
        <v>-6.8680000000000003</v>
      </c>
      <c r="X8" s="3">
        <f>+W8*1.1</f>
        <v>-7.5548000000000011</v>
      </c>
      <c r="Y8" s="3">
        <f t="shared" ref="Y8:AL8" si="13">+X8*1.1</f>
        <v>-8.3102800000000023</v>
      </c>
      <c r="Z8" s="3">
        <f t="shared" si="13"/>
        <v>-9.141308000000004</v>
      </c>
      <c r="AA8" s="3">
        <f t="shared" si="13"/>
        <v>-10.055438800000005</v>
      </c>
      <c r="AB8" s="3">
        <f t="shared" si="13"/>
        <v>-11.060982680000006</v>
      </c>
      <c r="AC8" s="3">
        <f t="shared" si="13"/>
        <v>-12.167080948000008</v>
      </c>
      <c r="AD8" s="3">
        <f t="shared" si="13"/>
        <v>-13.383789042800009</v>
      </c>
      <c r="AE8" s="3">
        <f t="shared" si="13"/>
        <v>-14.722167947080012</v>
      </c>
      <c r="AF8" s="3">
        <f t="shared" si="13"/>
        <v>-16.194384741788014</v>
      </c>
      <c r="AG8" s="3">
        <f t="shared" si="13"/>
        <v>-17.813823215966817</v>
      </c>
      <c r="AH8" s="3">
        <f t="shared" si="13"/>
        <v>-19.595205537563501</v>
      </c>
      <c r="AI8" s="3">
        <f t="shared" si="13"/>
        <v>-21.554726091319854</v>
      </c>
      <c r="AJ8" s="3">
        <f t="shared" si="13"/>
        <v>-23.710198700451841</v>
      </c>
      <c r="AK8" s="3">
        <f t="shared" si="13"/>
        <v>-26.081218570497025</v>
      </c>
      <c r="AL8" s="3">
        <f t="shared" si="13"/>
        <v>-28.689340427546732</v>
      </c>
    </row>
    <row r="9" spans="1:139" ht="12.75" x14ac:dyDescent="0.2">
      <c r="A9" s="4" t="s">
        <v>11</v>
      </c>
      <c r="C9" s="3">
        <v>59.384999999999998</v>
      </c>
      <c r="D9" s="3">
        <f t="shared" si="6"/>
        <v>107.31</v>
      </c>
      <c r="E9" s="3">
        <v>124.248</v>
      </c>
      <c r="F9" s="3">
        <f>+V9-G9</f>
        <v>68.31</v>
      </c>
      <c r="G9" s="3">
        <v>175.869</v>
      </c>
      <c r="H9" s="23">
        <f t="shared" si="7"/>
        <v>183.94800000000001</v>
      </c>
      <c r="I9" s="3">
        <v>195.01499999999999</v>
      </c>
      <c r="L9" s="3"/>
      <c r="M9" s="57">
        <f t="shared" si="8"/>
        <v>0.14377022848339016</v>
      </c>
      <c r="N9" s="11"/>
      <c r="O9" s="3">
        <v>107.407</v>
      </c>
      <c r="P9" s="3">
        <v>136.13300000000001</v>
      </c>
      <c r="Q9" s="3">
        <v>164.55500000000001</v>
      </c>
      <c r="R9" s="3">
        <v>205.39599999999999</v>
      </c>
      <c r="S9" s="3">
        <v>149.04900000000001</v>
      </c>
      <c r="T9" s="3">
        <v>158.46899999999999</v>
      </c>
      <c r="U9" s="3">
        <v>166.69499999999999</v>
      </c>
      <c r="V9" s="3">
        <v>244.179</v>
      </c>
      <c r="W9" s="3">
        <v>359.81700000000001</v>
      </c>
      <c r="X9" s="3">
        <f>+W9*1.08</f>
        <v>388.60236000000003</v>
      </c>
      <c r="Y9" s="3">
        <f t="shared" ref="Y9:AL9" si="14">+X9*1.08</f>
        <v>419.69054880000004</v>
      </c>
      <c r="Z9" s="3">
        <f t="shared" si="14"/>
        <v>453.26579270400009</v>
      </c>
      <c r="AA9" s="3">
        <f t="shared" si="14"/>
        <v>489.52705612032014</v>
      </c>
      <c r="AB9" s="3">
        <f t="shared" si="14"/>
        <v>528.68922060994578</v>
      </c>
      <c r="AC9" s="3">
        <f t="shared" si="14"/>
        <v>570.98435825874151</v>
      </c>
      <c r="AD9" s="3">
        <f t="shared" si="14"/>
        <v>616.66310691944091</v>
      </c>
      <c r="AE9" s="3">
        <f t="shared" si="14"/>
        <v>665.99615547299618</v>
      </c>
      <c r="AF9" s="3">
        <f t="shared" si="14"/>
        <v>719.27584791083586</v>
      </c>
      <c r="AG9" s="3">
        <f t="shared" si="14"/>
        <v>776.81791574370277</v>
      </c>
      <c r="AH9" s="3">
        <f t="shared" si="14"/>
        <v>838.96334900319903</v>
      </c>
      <c r="AI9" s="3">
        <f t="shared" si="14"/>
        <v>906.080416923455</v>
      </c>
      <c r="AJ9" s="3">
        <f t="shared" si="14"/>
        <v>978.56685027733147</v>
      </c>
      <c r="AK9" s="3">
        <f t="shared" si="14"/>
        <v>1056.852198299518</v>
      </c>
      <c r="AL9" s="3">
        <f t="shared" si="14"/>
        <v>1141.4003741634795</v>
      </c>
    </row>
    <row r="10" spans="1:139" ht="12.75" x14ac:dyDescent="0.2">
      <c r="A10" s="4" t="s">
        <v>13</v>
      </c>
      <c r="C10" s="3">
        <f t="shared" ref="C10:I10" si="15">SUM(C5:C9)</f>
        <v>210.39099999999999</v>
      </c>
      <c r="D10" s="3">
        <f t="shared" si="15"/>
        <v>298.09499999999997</v>
      </c>
      <c r="E10" s="3">
        <f t="shared" si="15"/>
        <v>364.57400000000001</v>
      </c>
      <c r="F10" s="3">
        <f>SUM(F5:F9)</f>
        <v>272.77999999999997</v>
      </c>
      <c r="G10" s="3">
        <f t="shared" si="15"/>
        <v>468.71400000000006</v>
      </c>
      <c r="H10" s="23">
        <f t="shared" si="15"/>
        <v>487.82299999999998</v>
      </c>
      <c r="I10" s="23">
        <f t="shared" si="15"/>
        <v>530.92799999999988</v>
      </c>
      <c r="K10" s="23"/>
      <c r="L10" s="3"/>
      <c r="M10" s="57"/>
      <c r="N10" s="11"/>
      <c r="O10" s="3">
        <f>SUM(O5:O9)</f>
        <v>194.51900000000001</v>
      </c>
      <c r="P10" s="3">
        <f t="shared" ref="P10:W10" si="16">SUM(P5:P9)</f>
        <v>254.52600000000001</v>
      </c>
      <c r="Q10" s="3">
        <f t="shared" si="16"/>
        <v>304.48900000000003</v>
      </c>
      <c r="R10" s="3">
        <f t="shared" si="16"/>
        <v>370.10500000000002</v>
      </c>
      <c r="S10" s="3">
        <f t="shared" si="16"/>
        <v>461.27200000000005</v>
      </c>
      <c r="T10" s="3">
        <f t="shared" si="16"/>
        <v>506.18099999999998</v>
      </c>
      <c r="U10" s="3">
        <f t="shared" si="16"/>
        <v>508.48599999999999</v>
      </c>
      <c r="V10" s="3">
        <f t="shared" si="16"/>
        <v>741.49400000000003</v>
      </c>
      <c r="W10" s="3">
        <f t="shared" si="16"/>
        <v>956.53699999999992</v>
      </c>
      <c r="X10" s="3">
        <f t="shared" ref="X10:AG10" si="17">SUM(X5:X9)</f>
        <v>1083.0490400000001</v>
      </c>
      <c r="Y10" s="3">
        <f t="shared" si="17"/>
        <v>1228.3323048</v>
      </c>
      <c r="Z10" s="3">
        <f t="shared" si="17"/>
        <v>1395.4096508960001</v>
      </c>
      <c r="AA10" s="3">
        <f t="shared" si="17"/>
        <v>1587.81645601632</v>
      </c>
      <c r="AB10" s="3">
        <f t="shared" si="17"/>
        <v>1809.6902119697984</v>
      </c>
      <c r="AC10" s="3">
        <f t="shared" si="17"/>
        <v>2065.8760635958492</v>
      </c>
      <c r="AD10" s="3">
        <f t="shared" si="17"/>
        <v>2362.0511632182152</v>
      </c>
      <c r="AE10" s="3">
        <f t="shared" si="17"/>
        <v>2704.8712299894141</v>
      </c>
      <c r="AF10" s="3">
        <f t="shared" si="17"/>
        <v>3102.1433181903985</v>
      </c>
      <c r="AG10" s="3">
        <f t="shared" si="17"/>
        <v>3563.02952522756</v>
      </c>
      <c r="AH10" s="3">
        <f t="shared" ref="AH10:AK10" si="18">SUM(AH5:AH9)</f>
        <v>4098.2872292275861</v>
      </c>
      <c r="AI10" s="3">
        <f t="shared" si="18"/>
        <v>4720.5524620068181</v>
      </c>
      <c r="AJ10" s="3">
        <f t="shared" si="18"/>
        <v>5444.6742244696006</v>
      </c>
      <c r="AK10" s="3">
        <f t="shared" si="18"/>
        <v>6288.108972118549</v>
      </c>
      <c r="AL10" s="3">
        <f>SUM(AL5:AL9)</f>
        <v>7271.3861785217059</v>
      </c>
    </row>
    <row r="11" spans="1:139" s="15" customFormat="1" ht="12.75" x14ac:dyDescent="0.2">
      <c r="A11" s="17" t="s">
        <v>14</v>
      </c>
      <c r="B11" s="17"/>
      <c r="C11" s="15">
        <f t="shared" ref="C11:I11" si="19">+C4-C10</f>
        <v>-157.435</v>
      </c>
      <c r="D11" s="15">
        <f t="shared" si="19"/>
        <v>-10.305000000000007</v>
      </c>
      <c r="E11" s="15">
        <f t="shared" si="19"/>
        <v>-9.9610000000000127</v>
      </c>
      <c r="F11" s="15">
        <f>+F4-F10</f>
        <v>167.17800000000005</v>
      </c>
      <c r="G11" s="15">
        <f t="shared" si="19"/>
        <v>31.70599999999996</v>
      </c>
      <c r="H11" s="15">
        <f t="shared" si="19"/>
        <v>59.004000000000019</v>
      </c>
      <c r="I11" s="15">
        <f t="shared" si="19"/>
        <v>54.072000000000116</v>
      </c>
      <c r="M11" s="57"/>
      <c r="N11" s="49"/>
      <c r="O11" s="15">
        <f t="shared" ref="O11:W11" si="20">+O4-O10</f>
        <v>7.703000000000003</v>
      </c>
      <c r="P11" s="15">
        <f t="shared" si="20"/>
        <v>4.0349999999999682</v>
      </c>
      <c r="Q11" s="15">
        <f t="shared" si="20"/>
        <v>21.341999999999985</v>
      </c>
      <c r="R11" s="15">
        <f t="shared" si="20"/>
        <v>31.678999999999974</v>
      </c>
      <c r="S11" s="15">
        <f t="shared" si="20"/>
        <v>53.886999999999944</v>
      </c>
      <c r="T11" s="15">
        <f t="shared" si="20"/>
        <v>-129.37</v>
      </c>
      <c r="U11" s="15">
        <f t="shared" si="20"/>
        <v>-167.74</v>
      </c>
      <c r="V11" s="15">
        <f t="shared" si="20"/>
        <v>53.076999999999998</v>
      </c>
      <c r="W11" s="15">
        <f t="shared" si="20"/>
        <v>90.71000000000015</v>
      </c>
      <c r="X11" s="15">
        <f t="shared" ref="X11:AG11" si="21">+X4-X10</f>
        <v>141.9509599999999</v>
      </c>
      <c r="Y11" s="15">
        <f t="shared" si="21"/>
        <v>180.41769520000003</v>
      </c>
      <c r="Z11" s="15">
        <f t="shared" si="21"/>
        <v>224.65284910399964</v>
      </c>
      <c r="AA11" s="15">
        <f t="shared" si="21"/>
        <v>275.25541898367965</v>
      </c>
      <c r="AB11" s="15">
        <f t="shared" si="21"/>
        <v>332.84244428020111</v>
      </c>
      <c r="AC11" s="15">
        <f t="shared" si="21"/>
        <v>398.03649109165008</v>
      </c>
      <c r="AD11" s="15">
        <f t="shared" si="21"/>
        <v>471.44827467240884</v>
      </c>
      <c r="AE11" s="15">
        <f t="shared" si="21"/>
        <v>553.65312358480332</v>
      </c>
      <c r="AF11" s="15">
        <f t="shared" si="21"/>
        <v>645.15968841995118</v>
      </c>
      <c r="AG11" s="15">
        <f t="shared" si="21"/>
        <v>746.36893237434197</v>
      </c>
      <c r="AH11" s="15">
        <f t="shared" ref="AH11:AL11" si="22">+AH4-AH10</f>
        <v>857.52099701460065</v>
      </c>
      <c r="AI11" s="15">
        <f t="shared" si="22"/>
        <v>978.62699817169596</v>
      </c>
      <c r="AJ11" s="15">
        <f t="shared" si="22"/>
        <v>1109.3821547356902</v>
      </c>
      <c r="AK11" s="15">
        <f t="shared" si="22"/>
        <v>1249.0558639675346</v>
      </c>
      <c r="AL11" s="15">
        <f t="shared" si="22"/>
        <v>1396.3533829772887</v>
      </c>
    </row>
    <row r="12" spans="1:139" ht="13.5" thickBot="1" x14ac:dyDescent="0.25">
      <c r="A12" s="4" t="s">
        <v>18</v>
      </c>
      <c r="C12" s="3">
        <v>-27.207000000000001</v>
      </c>
      <c r="D12" s="3">
        <f>+U12-C12</f>
        <v>-29.548000000000002</v>
      </c>
      <c r="E12" s="3">
        <v>-28.079000000000001</v>
      </c>
      <c r="F12" s="3">
        <f>+V12-G12</f>
        <v>-19.391999999999996</v>
      </c>
      <c r="G12" s="3">
        <v>-39.243000000000002</v>
      </c>
      <c r="H12" s="23">
        <f>+W12-G12</f>
        <v>-53.184000000000005</v>
      </c>
      <c r="I12" s="3">
        <v>-48.841000000000001</v>
      </c>
      <c r="L12" s="3"/>
      <c r="M12" s="58">
        <f>(W12/O12)^(1/9)-1</f>
        <v>0.10702287929573839</v>
      </c>
      <c r="N12" s="11"/>
      <c r="O12" s="3">
        <v>-37.015999999999998</v>
      </c>
      <c r="P12" s="3">
        <v>-35.753999999999998</v>
      </c>
      <c r="Q12" s="3">
        <v>-8.1950000000000003</v>
      </c>
      <c r="R12" s="3">
        <v>-9.34</v>
      </c>
      <c r="S12" s="3">
        <v>-37.451999999999998</v>
      </c>
      <c r="T12" s="3">
        <v>-46.002000000000002</v>
      </c>
      <c r="U12" s="3">
        <v>-56.755000000000003</v>
      </c>
      <c r="V12" s="3">
        <v>-58.634999999999998</v>
      </c>
      <c r="W12" s="3">
        <v>-92.427000000000007</v>
      </c>
      <c r="X12" s="3">
        <f>+W28*0.08</f>
        <v>-64.341520000000003</v>
      </c>
      <c r="Y12" s="3">
        <f t="shared" ref="Y12:AL12" si="23">+X28*0.08</f>
        <v>-58.209804800000015</v>
      </c>
      <c r="Z12" s="3">
        <f t="shared" si="23"/>
        <v>-51.659461874560009</v>
      </c>
      <c r="AA12" s="3">
        <f t="shared" si="23"/>
        <v>-42.387016319062049</v>
      </c>
      <c r="AB12" s="3">
        <f t="shared" si="23"/>
        <v>-29.905269936238547</v>
      </c>
      <c r="AC12" s="3">
        <f t="shared" si="23"/>
        <v>-13.667837391402154</v>
      </c>
      <c r="AD12" s="3">
        <f t="shared" si="23"/>
        <v>6.9343224469311373</v>
      </c>
      <c r="AE12" s="3">
        <f t="shared" si="23"/>
        <v>32.575629652527759</v>
      </c>
      <c r="AF12" s="3">
        <f t="shared" si="23"/>
        <v>63.997490826048711</v>
      </c>
      <c r="AG12" s="3">
        <f t="shared" si="23"/>
        <v>102.00831563363431</v>
      </c>
      <c r="AH12" s="3">
        <f t="shared" si="23"/>
        <v>147.48133612686183</v>
      </c>
      <c r="AI12" s="3">
        <f t="shared" si="23"/>
        <v>201.34946118324422</v>
      </c>
      <c r="AJ12" s="3">
        <f t="shared" si="23"/>
        <v>264.59619940466905</v>
      </c>
      <c r="AK12" s="3">
        <f t="shared" si="23"/>
        <v>338.24143918659223</v>
      </c>
      <c r="AL12" s="3">
        <f t="shared" si="23"/>
        <v>423.32057463565349</v>
      </c>
    </row>
    <row r="13" spans="1:139" ht="12.75" x14ac:dyDescent="0.2">
      <c r="A13" s="4" t="s">
        <v>19</v>
      </c>
      <c r="C13" s="23">
        <f t="shared" ref="C13:H13" si="24">+C11+C12</f>
        <v>-184.642</v>
      </c>
      <c r="D13" s="23">
        <f t="shared" si="24"/>
        <v>-39.853000000000009</v>
      </c>
      <c r="E13" s="23">
        <f t="shared" si="24"/>
        <v>-38.040000000000013</v>
      </c>
      <c r="F13" s="23">
        <f t="shared" si="24"/>
        <v>147.78600000000006</v>
      </c>
      <c r="G13" s="23">
        <f t="shared" si="24"/>
        <v>-7.5370000000000417</v>
      </c>
      <c r="H13" s="23">
        <f t="shared" si="24"/>
        <v>5.8200000000000145</v>
      </c>
      <c r="I13" s="23">
        <f>+I11+I12</f>
        <v>5.2310000000001153</v>
      </c>
      <c r="K13" s="23"/>
      <c r="L13" s="3"/>
      <c r="M13" s="3"/>
      <c r="N13" s="3"/>
      <c r="O13" s="3">
        <f>+O11+O12</f>
        <v>-29.312999999999995</v>
      </c>
      <c r="P13" s="3">
        <f t="shared" ref="P13:AL13" si="25">+P11+P12</f>
        <v>-31.71900000000003</v>
      </c>
      <c r="Q13" s="3">
        <f t="shared" si="25"/>
        <v>13.146999999999984</v>
      </c>
      <c r="R13" s="3">
        <f t="shared" si="25"/>
        <v>22.338999999999974</v>
      </c>
      <c r="S13" s="3">
        <f t="shared" si="25"/>
        <v>16.434999999999945</v>
      </c>
      <c r="T13" s="3">
        <f t="shared" si="25"/>
        <v>-175.37200000000001</v>
      </c>
      <c r="U13" s="3">
        <f t="shared" si="25"/>
        <v>-224.495</v>
      </c>
      <c r="V13" s="3">
        <f t="shared" si="25"/>
        <v>-5.5579999999999998</v>
      </c>
      <c r="W13" s="3">
        <f t="shared" si="25"/>
        <v>-1.7169999999998566</v>
      </c>
      <c r="X13" s="3">
        <f t="shared" si="25"/>
        <v>77.609439999999893</v>
      </c>
      <c r="Y13" s="3">
        <f t="shared" si="25"/>
        <v>122.20789040000001</v>
      </c>
      <c r="Z13" s="3">
        <f t="shared" si="25"/>
        <v>172.99338722943963</v>
      </c>
      <c r="AA13" s="3">
        <f t="shared" si="25"/>
        <v>232.86840266461761</v>
      </c>
      <c r="AB13" s="3">
        <f t="shared" si="25"/>
        <v>302.93717434396257</v>
      </c>
      <c r="AC13" s="3">
        <f t="shared" si="25"/>
        <v>384.36865370024793</v>
      </c>
      <c r="AD13" s="3">
        <f t="shared" si="25"/>
        <v>478.38259711934001</v>
      </c>
      <c r="AE13" s="3">
        <f t="shared" si="25"/>
        <v>586.22875323733103</v>
      </c>
      <c r="AF13" s="3">
        <f t="shared" si="25"/>
        <v>709.15717924599994</v>
      </c>
      <c r="AG13" s="3">
        <f t="shared" si="25"/>
        <v>848.37724800797628</v>
      </c>
      <c r="AH13" s="3">
        <f t="shared" si="25"/>
        <v>1005.0023331414625</v>
      </c>
      <c r="AI13" s="3">
        <f t="shared" si="25"/>
        <v>1179.9764593549403</v>
      </c>
      <c r="AJ13" s="3">
        <f t="shared" si="25"/>
        <v>1373.9783541403592</v>
      </c>
      <c r="AK13" s="3">
        <f t="shared" si="25"/>
        <v>1587.2973031541269</v>
      </c>
      <c r="AL13" s="3">
        <f t="shared" si="25"/>
        <v>1819.6739576129421</v>
      </c>
    </row>
    <row r="14" spans="1:139" ht="12.75" x14ac:dyDescent="0.2">
      <c r="A14" s="4" t="s">
        <v>20</v>
      </c>
      <c r="C14" s="3">
        <v>-42.069000000000003</v>
      </c>
      <c r="D14" s="3">
        <f>+U14-C14</f>
        <v>-9.2349999999999994</v>
      </c>
      <c r="E14" s="3">
        <v>-8.9</v>
      </c>
      <c r="F14" s="3">
        <f>+V14-G14</f>
        <v>1.5820000000000001</v>
      </c>
      <c r="G14" s="3">
        <v>-1.036</v>
      </c>
      <c r="H14" s="23">
        <f>+W14-G14</f>
        <v>1.9990000000000001</v>
      </c>
      <c r="I14" s="3">
        <v>2.698</v>
      </c>
      <c r="L14" s="3"/>
      <c r="M14" s="3"/>
      <c r="N14" s="3"/>
      <c r="O14" s="3">
        <v>-6.3479999999999999</v>
      </c>
      <c r="P14" s="3">
        <v>-0.66700000000000004</v>
      </c>
      <c r="Q14" s="3">
        <v>2.0289999999999999</v>
      </c>
      <c r="R14" s="3">
        <v>4.8109999999999999</v>
      </c>
      <c r="S14" s="3">
        <v>5.3929999999999998</v>
      </c>
      <c r="T14" s="3">
        <v>-38.926000000000002</v>
      </c>
      <c r="U14" s="3">
        <v>-51.304000000000002</v>
      </c>
      <c r="V14" s="3">
        <v>0.54600000000000004</v>
      </c>
      <c r="W14" s="3">
        <v>0.96299999999999997</v>
      </c>
      <c r="X14" s="3">
        <v>0.96299999999999997</v>
      </c>
      <c r="Y14" s="3">
        <f>+Y13*0.33</f>
        <v>40.328603832000006</v>
      </c>
      <c r="Z14" s="3">
        <f t="shared" ref="Z14:AG14" si="26">+Z13*0.33</f>
        <v>57.087817785715082</v>
      </c>
      <c r="AA14" s="3">
        <f t="shared" si="26"/>
        <v>76.846572879323816</v>
      </c>
      <c r="AB14" s="3">
        <f t="shared" si="26"/>
        <v>99.969267533507647</v>
      </c>
      <c r="AC14" s="3">
        <f t="shared" si="26"/>
        <v>126.84165572108182</v>
      </c>
      <c r="AD14" s="3">
        <f t="shared" si="26"/>
        <v>157.8662570493822</v>
      </c>
      <c r="AE14" s="3">
        <f t="shared" si="26"/>
        <v>193.45548856831925</v>
      </c>
      <c r="AF14" s="3">
        <f t="shared" si="26"/>
        <v>234.02186915118</v>
      </c>
      <c r="AG14" s="3">
        <f t="shared" si="26"/>
        <v>279.96449184263219</v>
      </c>
      <c r="AH14" s="3">
        <f t="shared" ref="AH14:AL14" si="27">+AH13*0.33</f>
        <v>331.65076993668265</v>
      </c>
      <c r="AI14" s="3">
        <f t="shared" si="27"/>
        <v>389.39223158713031</v>
      </c>
      <c r="AJ14" s="3">
        <f t="shared" si="27"/>
        <v>453.41285686631858</v>
      </c>
      <c r="AK14" s="3">
        <f t="shared" si="27"/>
        <v>523.80811004086195</v>
      </c>
      <c r="AL14" s="3">
        <f t="shared" si="27"/>
        <v>600.49240601227098</v>
      </c>
    </row>
    <row r="15" spans="1:139" s="15" customFormat="1" ht="12.75" x14ac:dyDescent="0.2">
      <c r="A15" s="17" t="s">
        <v>21</v>
      </c>
      <c r="B15" s="17"/>
      <c r="C15" s="15">
        <f t="shared" ref="C15:I15" si="28">+C13-C14</f>
        <v>-142.57299999999998</v>
      </c>
      <c r="D15" s="15">
        <f t="shared" si="28"/>
        <v>-30.618000000000009</v>
      </c>
      <c r="E15" s="15">
        <f t="shared" si="28"/>
        <v>-29.140000000000015</v>
      </c>
      <c r="F15" s="15">
        <f t="shared" si="28"/>
        <v>146.20400000000006</v>
      </c>
      <c r="G15" s="15">
        <f t="shared" si="28"/>
        <v>-6.5010000000000421</v>
      </c>
      <c r="H15" s="15">
        <f t="shared" si="28"/>
        <v>3.8210000000000144</v>
      </c>
      <c r="I15" s="15">
        <f t="shared" si="28"/>
        <v>2.5330000000001154</v>
      </c>
      <c r="O15" s="15">
        <f t="shared" ref="O15:W15" si="29">+O13-O14</f>
        <v>-22.964999999999996</v>
      </c>
      <c r="P15" s="15">
        <f t="shared" si="29"/>
        <v>-31.052000000000028</v>
      </c>
      <c r="Q15" s="15">
        <f t="shared" si="29"/>
        <v>11.117999999999984</v>
      </c>
      <c r="R15" s="15">
        <f t="shared" si="29"/>
        <v>17.527999999999974</v>
      </c>
      <c r="S15" s="15">
        <f t="shared" si="29"/>
        <v>11.041999999999945</v>
      </c>
      <c r="T15" s="15">
        <f t="shared" si="29"/>
        <v>-136.44600000000003</v>
      </c>
      <c r="U15" s="15">
        <f t="shared" si="29"/>
        <v>-173.191</v>
      </c>
      <c r="V15" s="15">
        <f t="shared" si="29"/>
        <v>-6.1040000000000001</v>
      </c>
      <c r="W15" s="15">
        <f t="shared" si="29"/>
        <v>-2.6799999999998567</v>
      </c>
      <c r="X15" s="15">
        <f>+X13-X14</f>
        <v>76.646439999999899</v>
      </c>
      <c r="Y15" s="15">
        <f t="shared" ref="Y15:AG15" si="30">+Y13-Y14</f>
        <v>81.879286567999998</v>
      </c>
      <c r="Z15" s="15">
        <f t="shared" si="30"/>
        <v>115.90556944372454</v>
      </c>
      <c r="AA15" s="15">
        <f t="shared" si="30"/>
        <v>156.02182978529379</v>
      </c>
      <c r="AB15" s="15">
        <f t="shared" si="30"/>
        <v>202.96790681045491</v>
      </c>
      <c r="AC15" s="15">
        <f t="shared" si="30"/>
        <v>257.52699797916614</v>
      </c>
      <c r="AD15" s="15">
        <f t="shared" si="30"/>
        <v>320.51634006995778</v>
      </c>
      <c r="AE15" s="15">
        <f t="shared" si="30"/>
        <v>392.77326466901178</v>
      </c>
      <c r="AF15" s="15">
        <f t="shared" si="30"/>
        <v>475.13531009481994</v>
      </c>
      <c r="AG15" s="15">
        <f t="shared" si="30"/>
        <v>568.41275616534404</v>
      </c>
      <c r="AH15" s="15">
        <f t="shared" ref="AH15:AL15" si="31">+AH13-AH14</f>
        <v>673.35156320477984</v>
      </c>
      <c r="AI15" s="15">
        <f t="shared" si="31"/>
        <v>790.58422776781003</v>
      </c>
      <c r="AJ15" s="15">
        <f t="shared" si="31"/>
        <v>920.56549727404058</v>
      </c>
      <c r="AK15" s="15">
        <f t="shared" si="31"/>
        <v>1063.4891931132649</v>
      </c>
      <c r="AL15" s="15">
        <f t="shared" si="31"/>
        <v>1219.1815516006711</v>
      </c>
      <c r="AM15" s="15">
        <f>+AL15*(1+$AO$20)</f>
        <v>1194.7979205686577</v>
      </c>
      <c r="AN15" s="15">
        <f t="shared" ref="AN15:CY15" si="32">+AM15*(1+$AO$20)</f>
        <v>1170.9019621572845</v>
      </c>
      <c r="AO15" s="15">
        <f t="shared" si="32"/>
        <v>1147.4839229141387</v>
      </c>
      <c r="AP15" s="15">
        <f t="shared" si="32"/>
        <v>1124.534244455856</v>
      </c>
      <c r="AQ15" s="15">
        <f t="shared" si="32"/>
        <v>1102.0435595667388</v>
      </c>
      <c r="AR15" s="15">
        <f t="shared" si="32"/>
        <v>1080.002688375404</v>
      </c>
      <c r="AS15" s="15">
        <f t="shared" si="32"/>
        <v>1058.4026346078958</v>
      </c>
      <c r="AT15" s="15">
        <f t="shared" si="32"/>
        <v>1037.2345819157379</v>
      </c>
      <c r="AU15" s="15">
        <f t="shared" si="32"/>
        <v>1016.4898902774231</v>
      </c>
      <c r="AV15" s="15">
        <f t="shared" si="32"/>
        <v>996.16009247187469</v>
      </c>
      <c r="AW15" s="15">
        <f t="shared" si="32"/>
        <v>976.23689062243716</v>
      </c>
      <c r="AX15" s="15">
        <f t="shared" si="32"/>
        <v>956.71215280998842</v>
      </c>
      <c r="AY15" s="15">
        <f t="shared" si="32"/>
        <v>937.57790975378862</v>
      </c>
      <c r="AZ15" s="15">
        <f t="shared" si="32"/>
        <v>918.82635155871287</v>
      </c>
      <c r="BA15" s="15">
        <f t="shared" si="32"/>
        <v>900.44982452753857</v>
      </c>
      <c r="BB15" s="15">
        <f t="shared" si="32"/>
        <v>882.4408280369878</v>
      </c>
      <c r="BC15" s="15">
        <f t="shared" si="32"/>
        <v>864.79201147624804</v>
      </c>
      <c r="BD15" s="15">
        <f t="shared" si="32"/>
        <v>847.49617124672307</v>
      </c>
      <c r="BE15" s="15">
        <f t="shared" si="32"/>
        <v>830.5462478217886</v>
      </c>
      <c r="BF15" s="15">
        <f t="shared" si="32"/>
        <v>813.93532286535276</v>
      </c>
      <c r="BG15" s="15">
        <f t="shared" si="32"/>
        <v>797.65661640804569</v>
      </c>
      <c r="BH15" s="15">
        <f t="shared" si="32"/>
        <v>781.70348407988479</v>
      </c>
      <c r="BI15" s="15">
        <f t="shared" si="32"/>
        <v>766.06941439828711</v>
      </c>
      <c r="BJ15" s="15">
        <f t="shared" si="32"/>
        <v>750.74802611032135</v>
      </c>
      <c r="BK15" s="15">
        <f t="shared" si="32"/>
        <v>735.73306558811487</v>
      </c>
      <c r="BL15" s="15">
        <f t="shared" si="32"/>
        <v>721.01840427635261</v>
      </c>
      <c r="BM15" s="15">
        <f t="shared" si="32"/>
        <v>706.5980361908255</v>
      </c>
      <c r="BN15" s="15">
        <f t="shared" si="32"/>
        <v>692.46607546700898</v>
      </c>
      <c r="BO15" s="15">
        <f t="shared" si="32"/>
        <v>678.61675395766883</v>
      </c>
      <c r="BP15" s="15">
        <f t="shared" si="32"/>
        <v>665.04441887851544</v>
      </c>
      <c r="BQ15" s="15">
        <f t="shared" si="32"/>
        <v>651.7435305009451</v>
      </c>
      <c r="BR15" s="15">
        <f t="shared" si="32"/>
        <v>638.70865989092613</v>
      </c>
      <c r="BS15" s="15">
        <f t="shared" si="32"/>
        <v>625.9344866931076</v>
      </c>
      <c r="BT15" s="15">
        <f t="shared" si="32"/>
        <v>613.41579695924543</v>
      </c>
      <c r="BU15" s="15">
        <f t="shared" si="32"/>
        <v>601.14748102006047</v>
      </c>
      <c r="BV15" s="15">
        <f t="shared" si="32"/>
        <v>589.1245313996593</v>
      </c>
      <c r="BW15" s="15">
        <f t="shared" si="32"/>
        <v>577.34204077166612</v>
      </c>
      <c r="BX15" s="15">
        <f t="shared" si="32"/>
        <v>565.79519995623275</v>
      </c>
      <c r="BY15" s="15">
        <f t="shared" si="32"/>
        <v>554.47929595710809</v>
      </c>
      <c r="BZ15" s="15">
        <f t="shared" si="32"/>
        <v>543.38971003796587</v>
      </c>
      <c r="CA15" s="15">
        <f t="shared" si="32"/>
        <v>532.52191583720651</v>
      </c>
      <c r="CB15" s="15">
        <f t="shared" si="32"/>
        <v>521.87147752046235</v>
      </c>
      <c r="CC15" s="15">
        <f t="shared" si="32"/>
        <v>511.43404797005309</v>
      </c>
      <c r="CD15" s="15">
        <f t="shared" si="32"/>
        <v>501.20536701065203</v>
      </c>
      <c r="CE15" s="15">
        <f t="shared" si="32"/>
        <v>491.18125967043898</v>
      </c>
      <c r="CF15" s="15">
        <f t="shared" si="32"/>
        <v>481.35763447703016</v>
      </c>
      <c r="CG15" s="15">
        <f t="shared" si="32"/>
        <v>471.73048178748957</v>
      </c>
      <c r="CH15" s="15">
        <f t="shared" si="32"/>
        <v>462.29587215173979</v>
      </c>
      <c r="CI15" s="15">
        <f t="shared" si="32"/>
        <v>453.049954708705</v>
      </c>
      <c r="CJ15" s="15">
        <f t="shared" si="32"/>
        <v>443.98895561453088</v>
      </c>
      <c r="CK15" s="15">
        <f t="shared" si="32"/>
        <v>435.10917650224025</v>
      </c>
      <c r="CL15" s="15">
        <f t="shared" si="32"/>
        <v>426.40699297219544</v>
      </c>
      <c r="CM15" s="15">
        <f t="shared" si="32"/>
        <v>417.87885311275153</v>
      </c>
      <c r="CN15" s="15">
        <f t="shared" si="32"/>
        <v>409.52127605049651</v>
      </c>
      <c r="CO15" s="15">
        <f t="shared" si="32"/>
        <v>401.33085052948655</v>
      </c>
      <c r="CP15" s="15">
        <f t="shared" si="32"/>
        <v>393.30423351889681</v>
      </c>
      <c r="CQ15" s="15">
        <f t="shared" si="32"/>
        <v>385.43814884851889</v>
      </c>
      <c r="CR15" s="15">
        <f t="shared" si="32"/>
        <v>377.72938587154852</v>
      </c>
      <c r="CS15" s="15">
        <f t="shared" si="32"/>
        <v>370.17479815411752</v>
      </c>
      <c r="CT15" s="15">
        <f t="shared" si="32"/>
        <v>362.77130219103515</v>
      </c>
      <c r="CU15" s="15">
        <f t="shared" si="32"/>
        <v>355.51587614721444</v>
      </c>
      <c r="CV15" s="15">
        <f t="shared" si="32"/>
        <v>348.40555862427016</v>
      </c>
      <c r="CW15" s="15">
        <f t="shared" si="32"/>
        <v>341.43744745178475</v>
      </c>
      <c r="CX15" s="15">
        <f t="shared" si="32"/>
        <v>334.60869850274906</v>
      </c>
      <c r="CY15" s="15">
        <f t="shared" si="32"/>
        <v>327.9165245326941</v>
      </c>
      <c r="CZ15" s="15">
        <f t="shared" ref="CZ15:EI15" si="33">+CY15*(1+$AO$20)</f>
        <v>321.35819404204022</v>
      </c>
      <c r="DA15" s="15">
        <f t="shared" si="33"/>
        <v>314.93103016119943</v>
      </c>
      <c r="DB15" s="15">
        <f t="shared" si="33"/>
        <v>308.63240955797545</v>
      </c>
      <c r="DC15" s="15">
        <f t="shared" si="33"/>
        <v>302.45976136681594</v>
      </c>
      <c r="DD15" s="15">
        <f t="shared" si="33"/>
        <v>296.41056613947961</v>
      </c>
      <c r="DE15" s="15">
        <f t="shared" si="33"/>
        <v>290.48235481669002</v>
      </c>
      <c r="DF15" s="15">
        <f t="shared" si="33"/>
        <v>284.67270772035619</v>
      </c>
      <c r="DG15" s="15">
        <f t="shared" si="33"/>
        <v>278.97925356594908</v>
      </c>
      <c r="DH15" s="15">
        <f t="shared" si="33"/>
        <v>273.39966849463008</v>
      </c>
      <c r="DI15" s="15">
        <f t="shared" si="33"/>
        <v>267.93167512473747</v>
      </c>
      <c r="DJ15" s="15">
        <f t="shared" si="33"/>
        <v>262.57304162224273</v>
      </c>
      <c r="DK15" s="15">
        <f t="shared" si="33"/>
        <v>257.32158078979785</v>
      </c>
      <c r="DL15" s="15">
        <f t="shared" si="33"/>
        <v>252.17514917400189</v>
      </c>
      <c r="DM15" s="15">
        <f t="shared" si="33"/>
        <v>247.13164619052185</v>
      </c>
      <c r="DN15" s="15">
        <f t="shared" si="33"/>
        <v>242.18901326671141</v>
      </c>
      <c r="DO15" s="15">
        <f t="shared" si="33"/>
        <v>237.34523300137718</v>
      </c>
      <c r="DP15" s="15">
        <f t="shared" si="33"/>
        <v>232.59832834134963</v>
      </c>
      <c r="DQ15" s="15">
        <f t="shared" si="33"/>
        <v>227.94636177452264</v>
      </c>
      <c r="DR15" s="15">
        <f t="shared" si="33"/>
        <v>223.3874345390322</v>
      </c>
      <c r="DS15" s="15">
        <f t="shared" si="33"/>
        <v>218.91968584825156</v>
      </c>
      <c r="DT15" s="15">
        <f t="shared" si="33"/>
        <v>214.54129213128653</v>
      </c>
      <c r="DU15" s="15">
        <f t="shared" si="33"/>
        <v>210.25046628866079</v>
      </c>
      <c r="DV15" s="15">
        <f t="shared" si="33"/>
        <v>206.04545696288756</v>
      </c>
      <c r="DW15" s="15">
        <f t="shared" si="33"/>
        <v>201.92454782362981</v>
      </c>
      <c r="DX15" s="15">
        <f t="shared" si="33"/>
        <v>197.88605686715721</v>
      </c>
      <c r="DY15" s="15">
        <f t="shared" si="33"/>
        <v>193.92833572981405</v>
      </c>
      <c r="DZ15" s="15">
        <f t="shared" si="33"/>
        <v>190.04976901521778</v>
      </c>
      <c r="EA15" s="15">
        <f t="shared" si="33"/>
        <v>186.24877363491342</v>
      </c>
      <c r="EB15" s="15">
        <f t="shared" si="33"/>
        <v>182.52379816221514</v>
      </c>
      <c r="EC15" s="15">
        <f t="shared" si="33"/>
        <v>178.87332219897084</v>
      </c>
      <c r="ED15" s="15">
        <f t="shared" si="33"/>
        <v>175.29585575499141</v>
      </c>
      <c r="EE15" s="15">
        <f t="shared" si="33"/>
        <v>171.78993863989157</v>
      </c>
      <c r="EF15" s="15">
        <f t="shared" si="33"/>
        <v>168.35413986709375</v>
      </c>
      <c r="EG15" s="15">
        <f t="shared" si="33"/>
        <v>164.98705706975187</v>
      </c>
      <c r="EH15" s="15">
        <f t="shared" si="33"/>
        <v>161.68731592835684</v>
      </c>
      <c r="EI15" s="15">
        <f t="shared" si="33"/>
        <v>158.4535696097897</v>
      </c>
    </row>
    <row r="16" spans="1:139" s="6" customFormat="1" ht="12.75" x14ac:dyDescent="0.2">
      <c r="A16" s="1" t="s">
        <v>22</v>
      </c>
      <c r="B16" s="1"/>
      <c r="C16" s="26">
        <f t="shared" ref="C16:I16" si="34">+C15/C17</f>
        <v>-2.2950484530440098</v>
      </c>
      <c r="D16" s="26">
        <f t="shared" si="34"/>
        <v>-0.47840625000000014</v>
      </c>
      <c r="E16" s="26">
        <f t="shared" si="34"/>
        <v>-0.44151515151515175</v>
      </c>
      <c r="F16" s="26">
        <f t="shared" si="34"/>
        <v>2.284437500000001</v>
      </c>
      <c r="G16" s="26">
        <f t="shared" si="34"/>
        <v>-9.8500000000000643E-2</v>
      </c>
      <c r="H16" s="26">
        <f t="shared" si="34"/>
        <v>5.7893939393939609E-2</v>
      </c>
      <c r="I16" s="26">
        <f t="shared" si="34"/>
        <v>3.8378787878789629E-2</v>
      </c>
      <c r="K16" s="26"/>
      <c r="O16" s="26">
        <f t="shared" ref="O16:AL16" si="35">+O15/O17</f>
        <v>-0.3986979166666666</v>
      </c>
      <c r="P16" s="26">
        <f t="shared" si="35"/>
        <v>-0.53909722222222267</v>
      </c>
      <c r="Q16" s="26">
        <f t="shared" si="35"/>
        <v>0.19302083333333306</v>
      </c>
      <c r="R16" s="26">
        <f t="shared" si="35"/>
        <v>0.30430555555555511</v>
      </c>
      <c r="S16" s="26">
        <f t="shared" si="35"/>
        <v>0.19170138888888794</v>
      </c>
      <c r="T16" s="26">
        <f t="shared" si="35"/>
        <v>-2.3688541666666669</v>
      </c>
      <c r="U16" s="26">
        <f t="shared" si="35"/>
        <v>-2.706109375</v>
      </c>
      <c r="V16" s="26">
        <f t="shared" si="35"/>
        <v>-9.5375000000000001E-2</v>
      </c>
      <c r="W16" s="26">
        <f t="shared" si="35"/>
        <v>-4.0606060606058432E-2</v>
      </c>
      <c r="X16" s="26">
        <f t="shared" si="35"/>
        <v>1.1385389185977406</v>
      </c>
      <c r="Y16" s="26">
        <f t="shared" si="35"/>
        <v>1.1924214254424288</v>
      </c>
      <c r="Z16" s="26">
        <f t="shared" si="35"/>
        <v>1.6548546482608346</v>
      </c>
      <c r="AA16" s="26">
        <f t="shared" si="35"/>
        <v>2.1839402092034996</v>
      </c>
      <c r="AB16" s="26">
        <f t="shared" si="35"/>
        <v>2.7853679788623662</v>
      </c>
      <c r="AC16" s="26">
        <f t="shared" si="35"/>
        <v>3.4647970355427389</v>
      </c>
      <c r="AD16" s="26">
        <f t="shared" si="35"/>
        <v>4.2277085190906094</v>
      </c>
      <c r="AE16" s="26">
        <f t="shared" si="35"/>
        <v>5.0792151432713126</v>
      </c>
      <c r="AF16" s="26">
        <f t="shared" si="35"/>
        <v>6.0238177685436192</v>
      </c>
      <c r="AG16" s="26">
        <f t="shared" si="35"/>
        <v>7.0650975476907725</v>
      </c>
      <c r="AH16" s="26">
        <f t="shared" si="35"/>
        <v>8.2053299182014126</v>
      </c>
      <c r="AI16" s="26">
        <f t="shared" si="35"/>
        <v>9.4450040654153309</v>
      </c>
      <c r="AJ16" s="26">
        <f t="shared" si="35"/>
        <v>10.782228346353456</v>
      </c>
      <c r="AK16" s="26">
        <f t="shared" si="35"/>
        <v>12.211998460304477</v>
      </c>
      <c r="AL16" s="26">
        <f t="shared" si="35"/>
        <v>13.725300778326607</v>
      </c>
    </row>
    <row r="17" spans="1:41" ht="12.75" x14ac:dyDescent="0.2">
      <c r="A17" s="4" t="s">
        <v>4</v>
      </c>
      <c r="C17" s="3">
        <v>62.122</v>
      </c>
      <c r="D17" s="3">
        <v>64</v>
      </c>
      <c r="E17" s="3">
        <v>66</v>
      </c>
      <c r="F17" s="3">
        <v>64</v>
      </c>
      <c r="G17" s="3">
        <v>66</v>
      </c>
      <c r="H17" s="23">
        <v>66</v>
      </c>
      <c r="I17" s="23">
        <v>66</v>
      </c>
      <c r="K17" s="23"/>
      <c r="L17" s="3"/>
      <c r="M17" s="50"/>
      <c r="N17" s="3"/>
      <c r="O17" s="3">
        <v>57.6</v>
      </c>
      <c r="P17" s="3">
        <v>57.6</v>
      </c>
      <c r="Q17" s="3">
        <v>57.6</v>
      </c>
      <c r="R17" s="3">
        <v>57.6</v>
      </c>
      <c r="S17" s="3">
        <v>57.6</v>
      </c>
      <c r="T17" s="3">
        <v>57.6</v>
      </c>
      <c r="U17" s="3">
        <v>64</v>
      </c>
      <c r="V17" s="3">
        <v>64</v>
      </c>
      <c r="W17" s="3">
        <v>66</v>
      </c>
      <c r="X17" s="3">
        <f>+W17*1.02</f>
        <v>67.320000000000007</v>
      </c>
      <c r="Y17" s="3">
        <f t="shared" ref="Y17:AL17" si="36">+X17*1.02</f>
        <v>68.66640000000001</v>
      </c>
      <c r="Z17" s="3">
        <f t="shared" si="36"/>
        <v>70.039728000000011</v>
      </c>
      <c r="AA17" s="3">
        <f t="shared" si="36"/>
        <v>71.440522560000019</v>
      </c>
      <c r="AB17" s="3">
        <f t="shared" si="36"/>
        <v>72.869333011200027</v>
      </c>
      <c r="AC17" s="3">
        <f t="shared" si="36"/>
        <v>74.32671967142403</v>
      </c>
      <c r="AD17" s="3">
        <f t="shared" si="36"/>
        <v>75.813254064852515</v>
      </c>
      <c r="AE17" s="3">
        <f t="shared" si="36"/>
        <v>77.329519146149565</v>
      </c>
      <c r="AF17" s="3">
        <f t="shared" si="36"/>
        <v>78.876109529072551</v>
      </c>
      <c r="AG17" s="3">
        <f t="shared" si="36"/>
        <v>80.453631719653998</v>
      </c>
      <c r="AH17" s="3">
        <f t="shared" si="36"/>
        <v>82.062704354047085</v>
      </c>
      <c r="AI17" s="3">
        <f t="shared" si="36"/>
        <v>83.703958441128023</v>
      </c>
      <c r="AJ17" s="3">
        <f t="shared" si="36"/>
        <v>85.378037609950582</v>
      </c>
      <c r="AK17" s="3">
        <f t="shared" si="36"/>
        <v>87.085598362149597</v>
      </c>
      <c r="AL17" s="3">
        <f t="shared" si="36"/>
        <v>88.827310329392589</v>
      </c>
    </row>
    <row r="18" spans="1:41" ht="12.75" x14ac:dyDescent="0.2">
      <c r="L18" s="3"/>
      <c r="M18" s="3"/>
      <c r="N18" s="3"/>
      <c r="O18" s="3"/>
      <c r="P18" s="3"/>
      <c r="Q18" s="3"/>
    </row>
    <row r="19" spans="1:41" s="8" customFormat="1" ht="12.75" x14ac:dyDescent="0.2">
      <c r="A19" s="7" t="s">
        <v>15</v>
      </c>
      <c r="B19" s="7"/>
      <c r="C19" s="8">
        <f t="shared" ref="C19:I19" si="37">+C11/C4</f>
        <v>-2.97293979907848</v>
      </c>
      <c r="D19" s="8">
        <f t="shared" si="37"/>
        <v>-3.5807359532992834E-2</v>
      </c>
      <c r="E19" s="8">
        <f t="shared" si="37"/>
        <v>-2.8089776742533445E-2</v>
      </c>
      <c r="F19" s="8">
        <f t="shared" si="37"/>
        <v>0.37998627141681718</v>
      </c>
      <c r="G19" s="8">
        <f t="shared" si="37"/>
        <v>6.3358778625954112E-2</v>
      </c>
      <c r="H19" s="28">
        <f t="shared" si="37"/>
        <v>0.10790249932794105</v>
      </c>
      <c r="I19" s="28">
        <f t="shared" si="37"/>
        <v>9.2430769230769427E-2</v>
      </c>
      <c r="K19" s="28"/>
      <c r="O19" s="8">
        <f t="shared" ref="O19:AG19" si="38">+O11/O4</f>
        <v>3.8091800100879245E-2</v>
      </c>
      <c r="P19" s="8">
        <f t="shared" si="38"/>
        <v>1.560560177288906E-2</v>
      </c>
      <c r="Q19" s="8">
        <f t="shared" si="38"/>
        <v>6.5500213300760154E-2</v>
      </c>
      <c r="R19" s="8">
        <f t="shared" si="38"/>
        <v>7.8845847520060464E-2</v>
      </c>
      <c r="S19" s="8">
        <f t="shared" si="38"/>
        <v>0.10460265665551789</v>
      </c>
      <c r="T19" s="8">
        <f t="shared" si="38"/>
        <v>-0.34332861832589817</v>
      </c>
      <c r="U19" s="8">
        <f t="shared" si="38"/>
        <v>-0.49227283665839078</v>
      </c>
      <c r="V19" s="8">
        <f t="shared" si="38"/>
        <v>6.6799568572223245E-2</v>
      </c>
      <c r="W19" s="8">
        <f t="shared" si="38"/>
        <v>8.6617579233934441E-2</v>
      </c>
      <c r="X19" s="8">
        <f t="shared" si="38"/>
        <v>0.11587833469387747</v>
      </c>
      <c r="Y19" s="8">
        <f t="shared" si="38"/>
        <v>0.12806934885536825</v>
      </c>
      <c r="Z19" s="8">
        <f t="shared" si="38"/>
        <v>0.13866924831850602</v>
      </c>
      <c r="AA19" s="8">
        <f t="shared" si="38"/>
        <v>0.14774278044623462</v>
      </c>
      <c r="AB19" s="8">
        <f t="shared" si="38"/>
        <v>0.15534999819454967</v>
      </c>
      <c r="AC19" s="8">
        <f t="shared" si="38"/>
        <v>0.16154651687390484</v>
      </c>
      <c r="AD19" s="8">
        <f t="shared" si="38"/>
        <v>0.16638375443736622</v>
      </c>
      <c r="AE19" s="8">
        <f t="shared" si="38"/>
        <v>0.16990915626501643</v>
      </c>
      <c r="AF19" s="8">
        <f t="shared" si="38"/>
        <v>0.17216640535389613</v>
      </c>
      <c r="AG19" s="8">
        <f t="shared" si="38"/>
        <v>0.17319561876617046</v>
      </c>
      <c r="AH19" s="8">
        <f t="shared" ref="AH19:AL19" si="39">+AH11/AH4</f>
        <v>0.17303353113500688</v>
      </c>
      <c r="AI19" s="8">
        <f t="shared" si="39"/>
        <v>0.17171366597763577</v>
      </c>
      <c r="AJ19" s="8">
        <f t="shared" si="39"/>
        <v>0.16926649551803333</v>
      </c>
      <c r="AK19" s="8">
        <f t="shared" si="39"/>
        <v>0.16571958967745587</v>
      </c>
      <c r="AL19" s="8">
        <f t="shared" si="39"/>
        <v>0.16109775484945513</v>
      </c>
      <c r="AN19" s="51" t="s">
        <v>81</v>
      </c>
    </row>
    <row r="20" spans="1:41" s="8" customFormat="1" ht="12.75" x14ac:dyDescent="0.2">
      <c r="A20" s="7" t="s">
        <v>16</v>
      </c>
      <c r="B20" s="7"/>
      <c r="C20" s="8">
        <f t="shared" ref="C20:I20" si="40">+C15/C4</f>
        <v>-2.6922917138756697</v>
      </c>
      <c r="D20" s="8">
        <f t="shared" si="40"/>
        <v>-0.10639007609715422</v>
      </c>
      <c r="E20" s="8">
        <f t="shared" si="40"/>
        <v>-8.2174088372394732E-2</v>
      </c>
      <c r="F20" s="8">
        <f t="shared" si="40"/>
        <v>0.33231353901963384</v>
      </c>
      <c r="G20" s="8">
        <f t="shared" si="40"/>
        <v>-1.2991087486511415E-2</v>
      </c>
      <c r="H20" s="28">
        <f t="shared" si="40"/>
        <v>6.9875847388662492E-3</v>
      </c>
      <c r="I20" s="28">
        <f t="shared" si="40"/>
        <v>4.3299145299147274E-3</v>
      </c>
      <c r="K20" s="28"/>
      <c r="O20" s="8">
        <f t="shared" ref="O20:AG20" si="41">+O15/O4</f>
        <v>-0.11356331160803471</v>
      </c>
      <c r="P20" s="8">
        <f t="shared" si="41"/>
        <v>-0.12009545136350815</v>
      </c>
      <c r="Q20" s="8">
        <f t="shared" si="41"/>
        <v>3.4121983482234608E-2</v>
      </c>
      <c r="R20" s="8">
        <f t="shared" si="41"/>
        <v>4.3625430579614856E-2</v>
      </c>
      <c r="S20" s="8">
        <f t="shared" si="41"/>
        <v>2.1434159162510884E-2</v>
      </c>
      <c r="T20" s="8">
        <f t="shared" si="41"/>
        <v>-0.36210726332299226</v>
      </c>
      <c r="U20" s="8">
        <f t="shared" si="41"/>
        <v>-0.50827008974426702</v>
      </c>
      <c r="V20" s="8">
        <f t="shared" si="41"/>
        <v>-7.6821328742176596E-3</v>
      </c>
      <c r="W20" s="8">
        <f t="shared" si="41"/>
        <v>-2.5590906443273237E-3</v>
      </c>
      <c r="X20" s="8">
        <f t="shared" si="41"/>
        <v>6.2568522448979508E-2</v>
      </c>
      <c r="Y20" s="8">
        <f t="shared" si="41"/>
        <v>5.8121942550488019E-2</v>
      </c>
      <c r="Z20" s="8">
        <f t="shared" si="41"/>
        <v>7.1543887623918556E-2</v>
      </c>
      <c r="AA20" s="8">
        <f t="shared" si="41"/>
        <v>8.3744396487813344E-2</v>
      </c>
      <c r="AB20" s="8">
        <f t="shared" si="41"/>
        <v>9.473270160824647E-2</v>
      </c>
      <c r="AC20" s="8">
        <f t="shared" si="41"/>
        <v>0.10451953641342948</v>
      </c>
      <c r="AD20" s="8">
        <f t="shared" si="41"/>
        <v>0.11311678265535977</v>
      </c>
      <c r="AE20" s="8">
        <f t="shared" si="41"/>
        <v>0.12053715794334505</v>
      </c>
      <c r="AF20" s="8">
        <f t="shared" si="41"/>
        <v>0.12679393933628202</v>
      </c>
      <c r="AG20" s="8">
        <f t="shared" si="41"/>
        <v>0.13190071926689623</v>
      </c>
      <c r="AH20" s="8">
        <f t="shared" ref="AH20:AL20" si="42">+AH15/AH4</f>
        <v>0.13587119042242649</v>
      </c>
      <c r="AI20" s="8">
        <f t="shared" si="42"/>
        <v>0.13871895652554986</v>
      </c>
      <c r="AJ20" s="8">
        <f t="shared" si="42"/>
        <v>0.14045736624952002</v>
      </c>
      <c r="AK20" s="8">
        <f t="shared" si="42"/>
        <v>0.14109936776512322</v>
      </c>
      <c r="AL20" s="8">
        <f t="shared" si="42"/>
        <v>0.14065738165647268</v>
      </c>
      <c r="AN20" s="51" t="s">
        <v>116</v>
      </c>
      <c r="AO20" s="8">
        <v>-0.02</v>
      </c>
    </row>
    <row r="21" spans="1:41" s="8" customFormat="1" ht="12.75" x14ac:dyDescent="0.2">
      <c r="A21" s="7" t="s">
        <v>17</v>
      </c>
      <c r="B21" s="7"/>
      <c r="C21" s="8" t="s">
        <v>23</v>
      </c>
      <c r="D21" s="8" t="s">
        <v>23</v>
      </c>
      <c r="E21" s="8" t="s">
        <v>23</v>
      </c>
      <c r="F21" s="8" t="s">
        <v>23</v>
      </c>
      <c r="G21" s="8" t="s">
        <v>23</v>
      </c>
      <c r="H21" s="28">
        <f>+H14/H13</f>
        <v>0.34347079037800604</v>
      </c>
      <c r="I21" s="28">
        <f>+I14/I13</f>
        <v>0.51577136302809035</v>
      </c>
      <c r="K21" s="28"/>
      <c r="O21" s="8" t="s">
        <v>23</v>
      </c>
      <c r="P21" s="8" t="s">
        <v>23</v>
      </c>
      <c r="Q21" s="8">
        <f>+Q14/Q13</f>
        <v>0.15433178671940384</v>
      </c>
      <c r="R21" s="8">
        <f>+R14/R13</f>
        <v>0.21536326603697595</v>
      </c>
      <c r="S21" s="8">
        <f>+S14/S13</f>
        <v>0.32814116215394085</v>
      </c>
      <c r="T21" s="8" t="s">
        <v>23</v>
      </c>
      <c r="U21" s="8" t="s">
        <v>23</v>
      </c>
      <c r="V21" s="8" t="s">
        <v>23</v>
      </c>
      <c r="W21" s="8">
        <f>+W14/W13</f>
        <v>-0.56086196854984294</v>
      </c>
      <c r="X21" s="8">
        <f t="shared" ref="X21:AG21" si="43">+X14/X13</f>
        <v>1.2408284353037482E-2</v>
      </c>
      <c r="Y21" s="8">
        <f t="shared" si="43"/>
        <v>0.33</v>
      </c>
      <c r="Z21" s="8">
        <f t="shared" si="43"/>
        <v>0.33</v>
      </c>
      <c r="AA21" s="8">
        <f t="shared" si="43"/>
        <v>0.33</v>
      </c>
      <c r="AB21" s="8">
        <f t="shared" si="43"/>
        <v>0.33</v>
      </c>
      <c r="AC21" s="8">
        <f t="shared" si="43"/>
        <v>0.33</v>
      </c>
      <c r="AD21" s="8">
        <f t="shared" si="43"/>
        <v>0.33</v>
      </c>
      <c r="AE21" s="8">
        <f t="shared" si="43"/>
        <v>0.33</v>
      </c>
      <c r="AF21" s="8">
        <f t="shared" si="43"/>
        <v>0.33</v>
      </c>
      <c r="AG21" s="8">
        <f t="shared" si="43"/>
        <v>0.33</v>
      </c>
      <c r="AH21" s="8">
        <f t="shared" ref="AH21:AL21" si="44">+AH14/AH13</f>
        <v>0.33</v>
      </c>
      <c r="AI21" s="8">
        <f t="shared" si="44"/>
        <v>0.33</v>
      </c>
      <c r="AJ21" s="8">
        <f t="shared" si="44"/>
        <v>0.33</v>
      </c>
      <c r="AK21" s="8">
        <f t="shared" si="44"/>
        <v>0.33000000000000007</v>
      </c>
      <c r="AL21" s="8">
        <f t="shared" si="44"/>
        <v>0.33000000000000007</v>
      </c>
      <c r="AN21" s="51" t="s">
        <v>117</v>
      </c>
      <c r="AO21" s="8">
        <v>0.15</v>
      </c>
    </row>
    <row r="22" spans="1:41" s="8" customFormat="1" ht="12.75" x14ac:dyDescent="0.2">
      <c r="A22" s="7"/>
      <c r="B22" s="7"/>
      <c r="H22" s="28"/>
      <c r="I22" s="28"/>
      <c r="K22" s="28"/>
      <c r="AN22" s="51" t="s">
        <v>118</v>
      </c>
      <c r="AO22" s="53">
        <f>NPV(AO21,X15:ED15)</f>
        <v>2636.6602918806302</v>
      </c>
    </row>
    <row r="23" spans="1:41" s="10" customFormat="1" ht="12.75" x14ac:dyDescent="0.2">
      <c r="A23" s="9" t="s">
        <v>24</v>
      </c>
      <c r="B23" s="9"/>
      <c r="E23" s="10">
        <f>+E4/C4-1</f>
        <v>5.6963705717954527</v>
      </c>
      <c r="F23" s="10">
        <f>+F4/D4-1</f>
        <v>0.52874665554744804</v>
      </c>
      <c r="G23" s="10">
        <f>+G4/E4-1</f>
        <v>0.41117217924892779</v>
      </c>
      <c r="H23" s="10">
        <f>+H4/F4-1</f>
        <v>0.24290727751285335</v>
      </c>
      <c r="I23" s="10">
        <f>+I4/G4-1</f>
        <v>0.16901802485911821</v>
      </c>
      <c r="P23" s="10">
        <f t="shared" ref="P23:AG23" si="45">+P4/O4-1</f>
        <v>0.27859975670302917</v>
      </c>
      <c r="Q23" s="10">
        <f t="shared" si="45"/>
        <v>0.26017071406747361</v>
      </c>
      <c r="R23" s="10">
        <f t="shared" si="45"/>
        <v>0.23310550561487386</v>
      </c>
      <c r="S23" s="10">
        <f t="shared" si="45"/>
        <v>0.2821789817414333</v>
      </c>
      <c r="T23" s="10">
        <f t="shared" si="45"/>
        <v>-0.26855398042157863</v>
      </c>
      <c r="U23" s="10">
        <f t="shared" si="45"/>
        <v>-9.5711112467523507E-2</v>
      </c>
      <c r="V23" s="10">
        <f t="shared" si="45"/>
        <v>1.3318571604655669</v>
      </c>
      <c r="W23" s="10">
        <f t="shared" si="45"/>
        <v>0.31800304818575054</v>
      </c>
      <c r="X23" s="10">
        <f t="shared" si="45"/>
        <v>0.16973359675415622</v>
      </c>
      <c r="Y23" s="10">
        <f t="shared" si="45"/>
        <v>0.14999999999999991</v>
      </c>
      <c r="Z23" s="10">
        <f t="shared" si="45"/>
        <v>0.14999999999999991</v>
      </c>
      <c r="AA23" s="10">
        <f t="shared" si="45"/>
        <v>0.14999999999999991</v>
      </c>
      <c r="AB23" s="10">
        <f t="shared" si="45"/>
        <v>0.14999999999999991</v>
      </c>
      <c r="AC23" s="10">
        <f t="shared" si="45"/>
        <v>0.14999999999999991</v>
      </c>
      <c r="AD23" s="10">
        <f t="shared" si="45"/>
        <v>0.14999999999999991</v>
      </c>
      <c r="AE23" s="10">
        <f t="shared" si="45"/>
        <v>0.14999999999999991</v>
      </c>
      <c r="AF23" s="10">
        <f t="shared" si="45"/>
        <v>0.14999999999999991</v>
      </c>
      <c r="AG23" s="10">
        <f t="shared" si="45"/>
        <v>0.14999999999999991</v>
      </c>
      <c r="AH23" s="10">
        <f t="shared" ref="AH23:AL23" si="46">+AH4/AG4-1</f>
        <v>0.14999999999999991</v>
      </c>
      <c r="AI23" s="10">
        <f t="shared" si="46"/>
        <v>0.14999999999999991</v>
      </c>
      <c r="AJ23" s="10">
        <f t="shared" si="46"/>
        <v>0.14999999999999991</v>
      </c>
      <c r="AK23" s="10">
        <f t="shared" si="46"/>
        <v>0.14999999999999991</v>
      </c>
      <c r="AL23" s="10">
        <f t="shared" si="46"/>
        <v>0.14999999999999969</v>
      </c>
      <c r="AN23" s="51" t="s">
        <v>57</v>
      </c>
      <c r="AO23" s="54">
        <f>+W28</f>
        <v>-804.26900000000001</v>
      </c>
    </row>
    <row r="24" spans="1:41" s="28" customFormat="1" ht="12.75" x14ac:dyDescent="0.2">
      <c r="A24" s="35" t="s">
        <v>82</v>
      </c>
      <c r="B24" s="35"/>
      <c r="E24" s="28">
        <f>+E7/C7-1</f>
        <v>0.13542197811803436</v>
      </c>
      <c r="F24" s="28">
        <f>+F7/D7-1</f>
        <v>-3.5198057285518169E-3</v>
      </c>
      <c r="G24" s="28">
        <f>+G7/E7-1</f>
        <v>0.18882680130619178</v>
      </c>
      <c r="H24" s="28">
        <f>+H7/F7-1</f>
        <v>0.40763812353251216</v>
      </c>
      <c r="I24" s="28">
        <f>+I7/G7-1</f>
        <v>0.13865714008181063</v>
      </c>
      <c r="P24" s="28">
        <f t="shared" ref="P24:AG24" si="47">+P7/O7-1</f>
        <v>0.3620657316132796</v>
      </c>
      <c r="Q24" s="28">
        <f t="shared" si="47"/>
        <v>0.15365077422118856</v>
      </c>
      <c r="R24" s="28">
        <f t="shared" si="47"/>
        <v>0.18572110666065411</v>
      </c>
      <c r="S24" s="28">
        <f t="shared" si="47"/>
        <v>1.3705103969754253</v>
      </c>
      <c r="T24" s="28">
        <f t="shared" si="47"/>
        <v>0.22964147862933304</v>
      </c>
      <c r="U24" s="28">
        <f t="shared" si="47"/>
        <v>8.9365408894329201E-2</v>
      </c>
      <c r="V24" s="28">
        <f t="shared" si="47"/>
        <v>0.16735181290752132</v>
      </c>
      <c r="W24" s="28">
        <f t="shared" si="47"/>
        <v>0.17969516187924151</v>
      </c>
      <c r="X24" s="28">
        <f t="shared" si="47"/>
        <v>0.17999999999999994</v>
      </c>
      <c r="Y24" s="28">
        <f t="shared" si="47"/>
        <v>0.17999999999999994</v>
      </c>
      <c r="Z24" s="28">
        <f t="shared" si="47"/>
        <v>0.17999999999999994</v>
      </c>
      <c r="AA24" s="28">
        <f t="shared" si="47"/>
        <v>0.17999999999999994</v>
      </c>
      <c r="AB24" s="28">
        <f t="shared" si="47"/>
        <v>0.17999999999999994</v>
      </c>
      <c r="AC24" s="28">
        <f t="shared" si="47"/>
        <v>0.17999999999999994</v>
      </c>
      <c r="AD24" s="28">
        <f t="shared" si="47"/>
        <v>0.17999999999999994</v>
      </c>
      <c r="AE24" s="28">
        <f t="shared" si="47"/>
        <v>0.17999999999999994</v>
      </c>
      <c r="AF24" s="28">
        <f t="shared" si="47"/>
        <v>0.17999999999999994</v>
      </c>
      <c r="AG24" s="28">
        <f t="shared" si="47"/>
        <v>0.17999999999999994</v>
      </c>
      <c r="AH24" s="28">
        <f t="shared" ref="AH24:AL24" si="48">+AH7/AG7-1</f>
        <v>0.17999999999999994</v>
      </c>
      <c r="AI24" s="28">
        <f t="shared" si="48"/>
        <v>0.17999999999999994</v>
      </c>
      <c r="AJ24" s="28">
        <f t="shared" si="48"/>
        <v>0.17999999999999994</v>
      </c>
      <c r="AK24" s="28">
        <f t="shared" si="48"/>
        <v>0.17999999999999994</v>
      </c>
      <c r="AL24" s="28">
        <f t="shared" si="48"/>
        <v>0.17999999999999994</v>
      </c>
      <c r="AN24" s="51" t="s">
        <v>119</v>
      </c>
      <c r="AO24" s="24">
        <f>+AO22+AO23</f>
        <v>1832.3912918806302</v>
      </c>
    </row>
    <row r="25" spans="1:41" s="28" customFormat="1" ht="12.75" x14ac:dyDescent="0.2">
      <c r="A25" s="35" t="s">
        <v>83</v>
      </c>
      <c r="B25" s="35"/>
      <c r="E25" s="28">
        <f>+E10/C10-1</f>
        <v>0.73284028309195759</v>
      </c>
      <c r="F25" s="28">
        <f>+F10/D10-1</f>
        <v>-8.4922591791207536E-2</v>
      </c>
      <c r="G25" s="28">
        <f>+G10/E10-1</f>
        <v>0.28564845545760265</v>
      </c>
      <c r="H25" s="28">
        <f>+H10/F10-1</f>
        <v>0.78833858787301136</v>
      </c>
      <c r="I25" s="28">
        <f>+I10/G10-1</f>
        <v>0.13273339392465311</v>
      </c>
      <c r="P25" s="28">
        <f t="shared" ref="P25:AG25" si="49">+P10/O10-1</f>
        <v>0.30848914501925262</v>
      </c>
      <c r="Q25" s="28">
        <f t="shared" si="49"/>
        <v>0.19629821707801964</v>
      </c>
      <c r="R25" s="28">
        <f t="shared" si="49"/>
        <v>0.21549546945866682</v>
      </c>
      <c r="S25" s="28">
        <f t="shared" si="49"/>
        <v>0.24632739357749833</v>
      </c>
      <c r="T25" s="28">
        <f t="shared" si="49"/>
        <v>9.7359041953554382E-2</v>
      </c>
      <c r="U25" s="28">
        <f t="shared" si="49"/>
        <v>4.5537070731616058E-3</v>
      </c>
      <c r="V25" s="28">
        <f t="shared" si="49"/>
        <v>0.45823877156893222</v>
      </c>
      <c r="W25" s="28">
        <f t="shared" si="49"/>
        <v>0.29001313564236519</v>
      </c>
      <c r="X25" s="28">
        <f t="shared" si="49"/>
        <v>0.13226047711693356</v>
      </c>
      <c r="Y25" s="28">
        <f t="shared" si="49"/>
        <v>0.1341428314270976</v>
      </c>
      <c r="Z25" s="28">
        <f t="shared" si="49"/>
        <v>0.13601966295529788</v>
      </c>
      <c r="AA25" s="28">
        <f t="shared" si="49"/>
        <v>0.13788553418472804</v>
      </c>
      <c r="AB25" s="28">
        <f t="shared" si="49"/>
        <v>0.13973514074173177</v>
      </c>
      <c r="AC25" s="28">
        <f t="shared" si="49"/>
        <v>0.14156337362691462</v>
      </c>
      <c r="AD25" s="28">
        <f t="shared" si="49"/>
        <v>0.14336537648190073</v>
      </c>
      <c r="AE25" s="28">
        <f t="shared" si="49"/>
        <v>0.14513659657740785</v>
      </c>
      <c r="AF25" s="28">
        <f t="shared" si="49"/>
        <v>0.14687282847196359</v>
      </c>
      <c r="AG25" s="28">
        <f t="shared" si="49"/>
        <v>0.14857024958666787</v>
      </c>
      <c r="AH25" s="28">
        <f t="shared" ref="AH25:AL25" si="50">+AH10/AG10-1</f>
        <v>0.15022544725217801</v>
      </c>
      <c r="AI25" s="28">
        <f t="shared" si="50"/>
        <v>0.15183543709221969</v>
      </c>
      <c r="AJ25" s="28">
        <f t="shared" si="50"/>
        <v>0.15339767289757877</v>
      </c>
      <c r="AK25" s="28">
        <f t="shared" si="50"/>
        <v>0.15491004840259515</v>
      </c>
      <c r="AL25" s="28">
        <f t="shared" si="50"/>
        <v>0.15637089159284678</v>
      </c>
      <c r="AN25" s="51" t="s">
        <v>122</v>
      </c>
      <c r="AO25" s="55">
        <f>+AO24/Main!S4</f>
        <v>27.76350442243379</v>
      </c>
    </row>
    <row r="26" spans="1:41" s="11" customFormat="1" ht="12.75" x14ac:dyDescent="0.2">
      <c r="A26" s="30"/>
      <c r="B26" s="30"/>
      <c r="C26" s="27"/>
      <c r="D26" s="27"/>
      <c r="E26" s="27"/>
      <c r="F26" s="27"/>
      <c r="G26" s="27"/>
      <c r="H26" s="27"/>
      <c r="I26" s="27"/>
      <c r="K26" s="27"/>
      <c r="AN26" s="52" t="s">
        <v>120</v>
      </c>
      <c r="AO26" s="11">
        <f>+AO25/Main!S3-1</f>
        <v>0.13320426214015479</v>
      </c>
    </row>
    <row r="27" spans="1:41" s="61" customFormat="1" ht="12.75" x14ac:dyDescent="0.2">
      <c r="A27" s="59" t="s">
        <v>126</v>
      </c>
      <c r="B27" s="59"/>
      <c r="D27" s="61">
        <f t="shared" ref="D27:I27" si="51">+SUM(C12:D12)/D28</f>
        <v>0.10359549659397065</v>
      </c>
      <c r="E27" s="61">
        <f t="shared" si="51"/>
        <v>8.3083790248283954E-2</v>
      </c>
      <c r="F27" s="61">
        <f t="shared" si="51"/>
        <v>6.8441366145665872E-2</v>
      </c>
      <c r="G27" s="61">
        <f t="shared" si="51"/>
        <v>7.64816983932778E-2</v>
      </c>
      <c r="H27" s="61">
        <f t="shared" si="51"/>
        <v>0.11492050545277763</v>
      </c>
      <c r="I27" s="61">
        <f t="shared" si="51"/>
        <v>0.10810011856312932</v>
      </c>
    </row>
    <row r="28" spans="1:41" ht="12.75" x14ac:dyDescent="0.2">
      <c r="A28" s="16" t="s">
        <v>57</v>
      </c>
      <c r="B28" s="3">
        <f t="shared" ref="B28:I28" si="52">+B38-B42</f>
        <v>-538.91300000000001</v>
      </c>
      <c r="C28" s="3">
        <f t="shared" si="52"/>
        <v>-419.84499999999991</v>
      </c>
      <c r="D28" s="3">
        <f t="shared" si="52"/>
        <v>-547.85199999999998</v>
      </c>
      <c r="E28" s="3">
        <f t="shared" si="52"/>
        <v>-693.601</v>
      </c>
      <c r="F28" s="3">
        <f t="shared" si="52"/>
        <v>-693.601</v>
      </c>
      <c r="G28" s="3">
        <f t="shared" si="52"/>
        <v>-766.654</v>
      </c>
      <c r="H28" s="3">
        <f t="shared" si="52"/>
        <v>-804.26900000000001</v>
      </c>
      <c r="I28" s="3">
        <f t="shared" si="52"/>
        <v>-943.80099999999993</v>
      </c>
      <c r="L28" s="3"/>
      <c r="M28" s="3"/>
      <c r="N28" s="3"/>
      <c r="O28" s="3">
        <f t="shared" ref="O28:V28" si="53">+O38-O42</f>
        <v>-456.02600000000007</v>
      </c>
      <c r="P28" s="3">
        <f t="shared" si="53"/>
        <v>-205.74600000000001</v>
      </c>
      <c r="Q28" s="3">
        <f t="shared" si="53"/>
        <v>-281.55499999999995</v>
      </c>
      <c r="R28" s="3">
        <f t="shared" si="53"/>
        <v>-333.036</v>
      </c>
      <c r="S28" s="3">
        <f t="shared" si="53"/>
        <v>-450.85599999999999</v>
      </c>
      <c r="T28" s="3">
        <f t="shared" si="53"/>
        <v>-538.91300000000001</v>
      </c>
      <c r="U28" s="3">
        <f t="shared" si="53"/>
        <v>-547.85199999999998</v>
      </c>
      <c r="V28" s="3">
        <f t="shared" si="53"/>
        <v>-693.601</v>
      </c>
      <c r="W28" s="3">
        <f>+W38-W42</f>
        <v>-804.26900000000001</v>
      </c>
      <c r="X28" s="3">
        <f t="shared" ref="X28:AL28" si="54">+W28+X15</f>
        <v>-727.62256000000014</v>
      </c>
      <c r="Y28" s="3">
        <f t="shared" si="54"/>
        <v>-645.74327343200014</v>
      </c>
      <c r="Z28" s="3">
        <f t="shared" si="54"/>
        <v>-529.83770398827562</v>
      </c>
      <c r="AA28" s="3">
        <f t="shared" si="54"/>
        <v>-373.81587420298183</v>
      </c>
      <c r="AB28" s="3">
        <f t="shared" si="54"/>
        <v>-170.84796739252693</v>
      </c>
      <c r="AC28" s="3">
        <f t="shared" si="54"/>
        <v>86.679030586639215</v>
      </c>
      <c r="AD28" s="3">
        <f t="shared" si="54"/>
        <v>407.19537065659699</v>
      </c>
      <c r="AE28" s="3">
        <f t="shared" si="54"/>
        <v>799.96863532560883</v>
      </c>
      <c r="AF28" s="3">
        <f t="shared" si="54"/>
        <v>1275.1039454204288</v>
      </c>
      <c r="AG28" s="3">
        <f t="shared" si="54"/>
        <v>1843.5167015857728</v>
      </c>
      <c r="AH28" s="3">
        <f t="shared" si="54"/>
        <v>2516.8682647905525</v>
      </c>
      <c r="AI28" s="3">
        <f t="shared" si="54"/>
        <v>3307.4524925583628</v>
      </c>
      <c r="AJ28" s="3">
        <f t="shared" si="54"/>
        <v>4228.0179898324031</v>
      </c>
      <c r="AK28" s="3">
        <f t="shared" si="54"/>
        <v>5291.5071829456683</v>
      </c>
      <c r="AL28" s="3">
        <f t="shared" si="54"/>
        <v>6510.6887345463392</v>
      </c>
    </row>
    <row r="29" spans="1:41" ht="12.75" x14ac:dyDescent="0.2">
      <c r="A29" s="4" t="s">
        <v>25</v>
      </c>
      <c r="B29" s="3">
        <f>203.604+48.649</f>
        <v>252.25300000000001</v>
      </c>
      <c r="C29" s="3">
        <f>203.604+47.722</f>
        <v>251.32600000000002</v>
      </c>
      <c r="D29" s="3">
        <f>203.604+43.643</f>
        <v>247.24700000000001</v>
      </c>
      <c r="E29" s="3">
        <f>204.843+42.575</f>
        <v>247.41800000000001</v>
      </c>
      <c r="F29" s="3">
        <f>204.843+42.575</f>
        <v>247.41800000000001</v>
      </c>
      <c r="G29" s="3">
        <f>204.843+44.241</f>
        <v>249.084</v>
      </c>
      <c r="H29" s="3">
        <f>204.843+43.939</f>
        <v>248.78199999999998</v>
      </c>
      <c r="I29" s="3">
        <f>215.389+48.219</f>
        <v>263.608</v>
      </c>
      <c r="L29" s="3"/>
      <c r="M29" s="3"/>
      <c r="N29" s="3"/>
      <c r="O29" s="3">
        <v>292.34699999999998</v>
      </c>
      <c r="P29" s="3">
        <v>278.846</v>
      </c>
      <c r="Q29" s="3">
        <v>269.72300000000001</v>
      </c>
      <c r="R29" s="3">
        <f>187.351+73.171</f>
        <v>260.52199999999999</v>
      </c>
      <c r="S29" s="3">
        <f>202.634+54.18</f>
        <v>256.81399999999996</v>
      </c>
      <c r="T29" s="3">
        <f>203.604+48.649</f>
        <v>252.25300000000001</v>
      </c>
      <c r="U29" s="3">
        <f>203.604+43.643</f>
        <v>247.24700000000001</v>
      </c>
      <c r="V29" s="3">
        <f>204.843+42.575</f>
        <v>247.41800000000001</v>
      </c>
      <c r="W29" s="3">
        <f>204.843+43.939</f>
        <v>248.78199999999998</v>
      </c>
    </row>
    <row r="30" spans="1:41" ht="12.75" x14ac:dyDescent="0.2">
      <c r="A30" s="4" t="s">
        <v>26</v>
      </c>
      <c r="B30" s="3">
        <v>747.11500000000001</v>
      </c>
      <c r="C30" s="3">
        <v>765.10500000000002</v>
      </c>
      <c r="D30" s="3">
        <v>837.19600000000003</v>
      </c>
      <c r="E30" s="3">
        <v>989.55899999999997</v>
      </c>
      <c r="F30" s="3">
        <v>989.55899999999997</v>
      </c>
      <c r="G30" s="3">
        <v>1088.7929999999999</v>
      </c>
      <c r="H30" s="3">
        <v>1172.194</v>
      </c>
      <c r="I30" s="3">
        <v>1219.182</v>
      </c>
      <c r="L30" s="3"/>
      <c r="M30" s="3"/>
      <c r="N30" s="3"/>
      <c r="O30" s="3">
        <v>247.38800000000001</v>
      </c>
      <c r="P30" s="3">
        <v>329.29</v>
      </c>
      <c r="Q30" s="3">
        <v>424.42</v>
      </c>
      <c r="R30" s="3">
        <v>521.75800000000004</v>
      </c>
      <c r="S30" s="3">
        <v>662.11300000000006</v>
      </c>
      <c r="T30" s="3">
        <v>747.11500000000001</v>
      </c>
      <c r="U30" s="3">
        <v>837.19600000000003</v>
      </c>
      <c r="V30" s="3">
        <v>989.55899999999997</v>
      </c>
      <c r="W30" s="3">
        <v>1172.194</v>
      </c>
    </row>
    <row r="31" spans="1:41" ht="12.75" x14ac:dyDescent="0.2">
      <c r="A31" s="43" t="s">
        <v>113</v>
      </c>
      <c r="B31" s="3">
        <v>1104.316</v>
      </c>
      <c r="C31" s="3">
        <v>1133.758</v>
      </c>
      <c r="D31" s="3">
        <v>1206.079</v>
      </c>
      <c r="E31" s="3">
        <v>1382.3610000000001</v>
      </c>
      <c r="F31" s="3">
        <v>1382.3610000000001</v>
      </c>
      <c r="G31" s="3">
        <v>1429.9960000000001</v>
      </c>
      <c r="H31" s="3">
        <v>1543.877</v>
      </c>
      <c r="I31" s="3">
        <v>1610.9110000000001</v>
      </c>
      <c r="L31" s="3"/>
      <c r="M31" s="3"/>
      <c r="N31" s="3"/>
      <c r="O31" s="3">
        <v>0</v>
      </c>
      <c r="P31" s="3">
        <v>0</v>
      </c>
      <c r="Q31" s="3">
        <v>0</v>
      </c>
      <c r="R31" s="3">
        <v>0</v>
      </c>
      <c r="S31" s="3">
        <v>950.26099999999997</v>
      </c>
      <c r="T31" s="3">
        <v>1104.316</v>
      </c>
      <c r="U31" s="3">
        <v>1206.079</v>
      </c>
      <c r="V31" s="3">
        <v>1382.3610000000001</v>
      </c>
      <c r="W31" s="3">
        <v>1543.877</v>
      </c>
    </row>
    <row r="32" spans="1:41" ht="12.75" x14ac:dyDescent="0.2">
      <c r="A32" s="4" t="s">
        <v>49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0.75</v>
      </c>
      <c r="I32" s="3">
        <v>1.2</v>
      </c>
      <c r="L32" s="3"/>
      <c r="M32" s="3"/>
      <c r="N32" s="3"/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0.75</v>
      </c>
    </row>
    <row r="33" spans="1:58" ht="12.75" x14ac:dyDescent="0.2">
      <c r="A33" s="4" t="s">
        <v>27</v>
      </c>
      <c r="B33" s="3">
        <v>45.53</v>
      </c>
      <c r="C33" s="3">
        <v>66.225999999999999</v>
      </c>
      <c r="D33" s="3">
        <v>76.468999999999994</v>
      </c>
      <c r="E33" s="3">
        <v>78.744</v>
      </c>
      <c r="F33" s="3">
        <v>78.744</v>
      </c>
      <c r="G33" s="3">
        <v>82.096000000000004</v>
      </c>
      <c r="H33" s="3">
        <v>82.033000000000001</v>
      </c>
      <c r="I33" s="3">
        <v>81.793999999999997</v>
      </c>
      <c r="L33" s="3"/>
      <c r="M33" s="3"/>
      <c r="N33" s="3"/>
      <c r="O33" s="3">
        <v>1.113</v>
      </c>
      <c r="P33" s="3">
        <v>4.59</v>
      </c>
      <c r="Q33" s="3">
        <v>6.2640000000000002</v>
      </c>
      <c r="R33" s="3">
        <v>6.4770000000000003</v>
      </c>
      <c r="S33" s="3">
        <v>12.622999999999999</v>
      </c>
      <c r="T33" s="3">
        <v>45.53</v>
      </c>
      <c r="U33" s="3">
        <v>76.468999999999994</v>
      </c>
      <c r="V33" s="3">
        <v>78.744</v>
      </c>
      <c r="W33" s="3">
        <v>82.033000000000001</v>
      </c>
    </row>
    <row r="34" spans="1:58" ht="12.75" x14ac:dyDescent="0.2">
      <c r="A34" s="4" t="s">
        <v>28</v>
      </c>
      <c r="B34" s="3">
        <v>0</v>
      </c>
      <c r="C34" s="3">
        <v>0</v>
      </c>
      <c r="D34" s="3">
        <v>0</v>
      </c>
      <c r="E34" s="3">
        <v>2.0449999999999999</v>
      </c>
      <c r="F34" s="3">
        <v>2.0449999999999999</v>
      </c>
      <c r="G34" s="3">
        <f>0.077+0.57</f>
        <v>0.64699999999999991</v>
      </c>
      <c r="H34" s="3">
        <v>1.7689999999999999</v>
      </c>
      <c r="I34" s="3">
        <v>0</v>
      </c>
      <c r="L34" s="3"/>
      <c r="M34" s="3"/>
      <c r="N34" s="3"/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2.0449999999999999</v>
      </c>
      <c r="W34" s="3">
        <v>1.7689999999999999</v>
      </c>
      <c r="BF34" s="62" t="s">
        <v>127</v>
      </c>
    </row>
    <row r="35" spans="1:58" ht="12.75" x14ac:dyDescent="0.2">
      <c r="A35" s="4" t="s">
        <v>29</v>
      </c>
      <c r="B35" s="3">
        <f>5.933+42.944</f>
        <v>48.877000000000002</v>
      </c>
      <c r="C35" s="3">
        <f>6.041+40.746</f>
        <v>46.787000000000006</v>
      </c>
      <c r="D35" s="3">
        <f>6.78+72.079</f>
        <v>78.858999999999995</v>
      </c>
      <c r="E35" s="3">
        <f>8.941+76.804</f>
        <v>85.745000000000005</v>
      </c>
      <c r="F35" s="3">
        <f>8.941+76.804</f>
        <v>85.745000000000005</v>
      </c>
      <c r="G35" s="3">
        <f>9.568+87.839</f>
        <v>97.406999999999996</v>
      </c>
      <c r="H35" s="3">
        <f>10.064+80.247</f>
        <v>90.311000000000007</v>
      </c>
      <c r="I35" s="3">
        <f>12.457+76.156</f>
        <v>88.613</v>
      </c>
      <c r="L35" s="3"/>
      <c r="M35" s="3"/>
      <c r="N35" s="3"/>
      <c r="O35" s="3">
        <f>2.33+12.391</f>
        <v>14.721</v>
      </c>
      <c r="P35" s="3">
        <f>2.062+19.595</f>
        <v>21.657</v>
      </c>
      <c r="Q35" s="3">
        <f>2.645+25.654</f>
        <v>28.298999999999999</v>
      </c>
      <c r="R35" s="3">
        <f>3.621+28.08</f>
        <v>31.700999999999997</v>
      </c>
      <c r="S35" s="3">
        <f>5.146+30.817</f>
        <v>35.963000000000001</v>
      </c>
      <c r="T35" s="3">
        <f>5.933+42.944</f>
        <v>48.877000000000002</v>
      </c>
      <c r="U35" s="3">
        <f>6.78+72.079</f>
        <v>78.858999999999995</v>
      </c>
      <c r="V35" s="3">
        <f>8.941+76.804</f>
        <v>85.745000000000005</v>
      </c>
      <c r="W35" s="3">
        <f>10.064+80.247</f>
        <v>90.311000000000007</v>
      </c>
    </row>
    <row r="36" spans="1:58" ht="12.75" x14ac:dyDescent="0.2">
      <c r="A36" s="4" t="s">
        <v>31</v>
      </c>
      <c r="B36" s="3">
        <v>8.1470000000000002</v>
      </c>
      <c r="C36" s="3">
        <v>10.863</v>
      </c>
      <c r="D36" s="3">
        <v>31.712</v>
      </c>
      <c r="E36" s="3">
        <v>20.893000000000001</v>
      </c>
      <c r="F36" s="3">
        <v>20.893000000000001</v>
      </c>
      <c r="G36" s="3">
        <v>23.716000000000001</v>
      </c>
      <c r="H36" s="3">
        <v>23.79</v>
      </c>
      <c r="I36" s="3">
        <v>23.382000000000001</v>
      </c>
      <c r="L36" s="3"/>
      <c r="M36" s="3"/>
      <c r="N36" s="3"/>
      <c r="O36" s="3"/>
      <c r="P36" s="3">
        <v>0.81100000000000005</v>
      </c>
      <c r="Q36" s="3">
        <v>1.226</v>
      </c>
      <c r="R36" s="3">
        <v>3.048</v>
      </c>
      <c r="S36" s="3">
        <v>6.4969999999999999</v>
      </c>
      <c r="T36" s="3">
        <v>8.1470000000000002</v>
      </c>
      <c r="U36" s="3">
        <v>31.712</v>
      </c>
      <c r="V36" s="3">
        <v>20.893000000000001</v>
      </c>
      <c r="W36" s="3">
        <v>23.79</v>
      </c>
    </row>
    <row r="37" spans="1:58" ht="12.75" x14ac:dyDescent="0.2">
      <c r="A37" s="4" t="s">
        <v>32</v>
      </c>
      <c r="B37" s="3">
        <v>0.96599999999999997</v>
      </c>
      <c r="C37" s="3">
        <v>0.93</v>
      </c>
      <c r="D37" s="3">
        <v>0.187</v>
      </c>
      <c r="E37" s="3">
        <v>0.128</v>
      </c>
      <c r="F37" s="3">
        <v>0.128</v>
      </c>
      <c r="G37" s="3">
        <v>0.151</v>
      </c>
      <c r="H37" s="3">
        <v>0.13500000000000001</v>
      </c>
      <c r="I37" s="3">
        <v>0.98099999999999998</v>
      </c>
      <c r="L37" s="3"/>
      <c r="M37" s="3"/>
      <c r="N37" s="3"/>
      <c r="O37" s="3">
        <v>0.79100000000000004</v>
      </c>
      <c r="P37" s="3">
        <v>0</v>
      </c>
      <c r="Q37" s="3">
        <v>0</v>
      </c>
      <c r="R37" s="3">
        <v>3.1509999999999998</v>
      </c>
      <c r="S37" s="3">
        <v>0.39300000000000002</v>
      </c>
      <c r="T37" s="3">
        <v>0.96599999999999997</v>
      </c>
      <c r="U37" s="3">
        <v>0.187</v>
      </c>
      <c r="V37" s="3">
        <v>0.128</v>
      </c>
      <c r="W37" s="3">
        <v>0.13500000000000001</v>
      </c>
    </row>
    <row r="38" spans="1:58" ht="12.75" x14ac:dyDescent="0.2">
      <c r="A38" s="4" t="s">
        <v>6</v>
      </c>
      <c r="B38" s="3">
        <v>70.406000000000006</v>
      </c>
      <c r="C38" s="3">
        <v>207.28700000000001</v>
      </c>
      <c r="D38" s="3">
        <v>70.103999999999999</v>
      </c>
      <c r="E38" s="3">
        <v>43.51</v>
      </c>
      <c r="F38" s="3">
        <v>43.51</v>
      </c>
      <c r="G38" s="3">
        <v>44.292999999999999</v>
      </c>
      <c r="H38" s="3">
        <v>70.933999999999997</v>
      </c>
      <c r="I38" s="3">
        <f>0.249+34.793</f>
        <v>35.042000000000002</v>
      </c>
      <c r="L38" s="3"/>
      <c r="M38" s="49">
        <f>(W38/O38)^(1/9)-1</f>
        <v>0.21461937017710753</v>
      </c>
      <c r="N38" s="3"/>
      <c r="O38" s="3">
        <v>12.327999999999999</v>
      </c>
      <c r="P38" s="3">
        <v>17.364999999999998</v>
      </c>
      <c r="Q38" s="3">
        <v>13.032999999999999</v>
      </c>
      <c r="R38" s="3">
        <v>5.6260000000000003</v>
      </c>
      <c r="S38" s="3">
        <v>66.486999999999995</v>
      </c>
      <c r="T38" s="3">
        <v>70.406000000000006</v>
      </c>
      <c r="U38" s="3">
        <v>70.103999999999999</v>
      </c>
      <c r="V38" s="3">
        <v>43.51</v>
      </c>
      <c r="W38" s="3">
        <v>70.933999999999997</v>
      </c>
    </row>
    <row r="39" spans="1:58" ht="12.75" x14ac:dyDescent="0.2">
      <c r="A39" s="43" t="s">
        <v>115</v>
      </c>
      <c r="B39" s="3"/>
      <c r="H39" s="3"/>
      <c r="L39" s="3"/>
      <c r="M39" s="3"/>
      <c r="N39" s="3"/>
      <c r="O39" s="3">
        <v>0</v>
      </c>
      <c r="P39" s="3">
        <v>0</v>
      </c>
      <c r="Q39" s="3">
        <v>0</v>
      </c>
      <c r="R39" s="3">
        <v>0</v>
      </c>
      <c r="S39" s="3">
        <v>2</v>
      </c>
      <c r="T39" s="3">
        <v>0</v>
      </c>
      <c r="U39" s="3">
        <v>0</v>
      </c>
      <c r="V39" s="3">
        <v>0</v>
      </c>
      <c r="W39" s="3">
        <v>0</v>
      </c>
    </row>
    <row r="40" spans="1:58" s="15" customFormat="1" ht="12.75" x14ac:dyDescent="0.2">
      <c r="A40" s="17" t="s">
        <v>30</v>
      </c>
      <c r="B40" s="15">
        <f t="shared" ref="B40:I40" si="55">+SUM(B29:B38)</f>
        <v>2277.61</v>
      </c>
      <c r="C40" s="15">
        <f t="shared" si="55"/>
        <v>2482.2819999999997</v>
      </c>
      <c r="D40" s="15">
        <f t="shared" si="55"/>
        <v>2547.8529999999996</v>
      </c>
      <c r="E40" s="15">
        <f t="shared" si="55"/>
        <v>2850.4030000000002</v>
      </c>
      <c r="F40" s="15">
        <f t="shared" si="55"/>
        <v>2850.4030000000002</v>
      </c>
      <c r="G40" s="15">
        <f t="shared" si="55"/>
        <v>3016.183</v>
      </c>
      <c r="H40" s="15">
        <f t="shared" si="55"/>
        <v>3234.5750000000003</v>
      </c>
      <c r="I40" s="15">
        <f t="shared" si="55"/>
        <v>3324.7129999999997</v>
      </c>
      <c r="O40" s="15">
        <f t="shared" ref="O40:R40" si="56">+SUM(O29:O39)</f>
        <v>568.6880000000001</v>
      </c>
      <c r="P40" s="15">
        <f t="shared" si="56"/>
        <v>652.55900000000008</v>
      </c>
      <c r="Q40" s="15">
        <f t="shared" si="56"/>
        <v>742.96500000000003</v>
      </c>
      <c r="R40" s="15">
        <f t="shared" si="56"/>
        <v>832.2829999999999</v>
      </c>
      <c r="S40" s="15">
        <f>+SUM(S29:S39)</f>
        <v>1993.1510000000003</v>
      </c>
      <c r="T40" s="15">
        <f>+SUM(T29:T39)</f>
        <v>2277.61</v>
      </c>
      <c r="U40" s="15">
        <f>+SUM(U29:U39)</f>
        <v>2547.8529999999996</v>
      </c>
      <c r="V40" s="15">
        <f>+SUM(V29:V39)</f>
        <v>2850.4030000000002</v>
      </c>
      <c r="W40" s="15">
        <f>+SUM(W29:W39)</f>
        <v>3234.5750000000003</v>
      </c>
    </row>
    <row r="41" spans="1:58" ht="12.75" x14ac:dyDescent="0.2">
      <c r="A41" s="4" t="s">
        <v>33</v>
      </c>
      <c r="B41" s="3">
        <f>1013.496+174.167</f>
        <v>1187.663</v>
      </c>
      <c r="C41" s="3">
        <f>1040.859+204.037</f>
        <v>1244.896</v>
      </c>
      <c r="D41" s="3">
        <f>1109.022+196.137</f>
        <v>1305.1589999999999</v>
      </c>
      <c r="E41" s="3">
        <f>1265.086+216.453</f>
        <v>1481.539</v>
      </c>
      <c r="F41" s="3">
        <f>1265.086+216.453</f>
        <v>1481.539</v>
      </c>
      <c r="G41" s="3">
        <f>1303.079+220.37</f>
        <v>1523.4490000000001</v>
      </c>
      <c r="H41" s="3">
        <f>1405.291+254.021</f>
        <v>1659.3119999999999</v>
      </c>
      <c r="I41" s="3">
        <f>1448.524+250.734</f>
        <v>1699.2579999999998</v>
      </c>
      <c r="L41" s="3"/>
      <c r="M41" s="3"/>
      <c r="N41" s="3"/>
      <c r="O41" s="3">
        <v>0</v>
      </c>
      <c r="P41" s="3">
        <v>0</v>
      </c>
      <c r="Q41" s="3">
        <v>0</v>
      </c>
      <c r="R41" s="3">
        <v>0</v>
      </c>
      <c r="S41" s="3">
        <f>866.741+138.787</f>
        <v>1005.528</v>
      </c>
      <c r="T41" s="3">
        <f>1013.496+174.167</f>
        <v>1187.663</v>
      </c>
      <c r="U41" s="3">
        <f>1109.022+196.137</f>
        <v>1305.1589999999999</v>
      </c>
      <c r="V41" s="3">
        <f>1265.086+216.453</f>
        <v>1481.539</v>
      </c>
      <c r="W41" s="3">
        <f>1405.291+254.021</f>
        <v>1659.3119999999999</v>
      </c>
    </row>
    <row r="42" spans="1:58" ht="12.75" x14ac:dyDescent="0.2">
      <c r="A42" s="4" t="s">
        <v>7</v>
      </c>
      <c r="B42" s="3">
        <f>546.259+63.06</f>
        <v>609.31899999999996</v>
      </c>
      <c r="C42" s="3">
        <f>557.405+69.727</f>
        <v>627.13199999999995</v>
      </c>
      <c r="D42" s="3">
        <f>517.729+100.227</f>
        <v>617.95600000000002</v>
      </c>
      <c r="E42" s="3">
        <f>723.778+13.333</f>
        <v>737.11099999999999</v>
      </c>
      <c r="F42" s="3">
        <f>723.778+13.333</f>
        <v>737.11099999999999</v>
      </c>
      <c r="G42" s="3">
        <v>810.947</v>
      </c>
      <c r="H42" s="3">
        <f>857.203+18</f>
        <v>875.20299999999997</v>
      </c>
      <c r="I42" s="3">
        <f>958.173+20.67</f>
        <v>978.84299999999996</v>
      </c>
      <c r="L42" s="3"/>
      <c r="M42" s="49">
        <f>(W42/O42)^(1/9)-1</f>
        <v>7.1940073941596516E-2</v>
      </c>
      <c r="N42" s="3"/>
      <c r="O42" s="3">
        <f>226.181+201.082+35.091+6</f>
        <v>468.35400000000004</v>
      </c>
      <c r="P42" s="3">
        <f>172.711+50.4</f>
        <v>223.11100000000002</v>
      </c>
      <c r="Q42" s="3">
        <f>294.568+0.02</f>
        <v>294.58799999999997</v>
      </c>
      <c r="R42" s="3">
        <f>338.662+0</f>
        <v>338.66199999999998</v>
      </c>
      <c r="S42" s="3">
        <f>517.283+0.06</f>
        <v>517.34299999999996</v>
      </c>
      <c r="T42" s="3">
        <f>546.259+63.06</f>
        <v>609.31899999999996</v>
      </c>
      <c r="U42" s="3">
        <f>517.729+100.227</f>
        <v>617.95600000000002</v>
      </c>
      <c r="V42" s="3">
        <f>723.778+13.333</f>
        <v>737.11099999999999</v>
      </c>
      <c r="W42" s="3">
        <f>857.203+18</f>
        <v>875.20299999999997</v>
      </c>
    </row>
    <row r="43" spans="1:58" ht="12.75" x14ac:dyDescent="0.2">
      <c r="A43" s="4" t="s">
        <v>27</v>
      </c>
      <c r="B43" s="3">
        <v>6.1340000000000003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0.29799999999999999</v>
      </c>
      <c r="I43" s="3">
        <v>0.754</v>
      </c>
      <c r="L43" s="3"/>
      <c r="M43" s="3"/>
      <c r="N43" s="3"/>
      <c r="O43" s="3">
        <v>14.58</v>
      </c>
      <c r="P43" s="3">
        <v>14.692</v>
      </c>
      <c r="Q43" s="3">
        <v>16.756</v>
      </c>
      <c r="R43" s="3">
        <v>16.742000000000001</v>
      </c>
      <c r="S43" s="3">
        <v>10.97</v>
      </c>
      <c r="T43" s="3">
        <v>6.1340000000000003</v>
      </c>
      <c r="U43" s="3">
        <v>0</v>
      </c>
      <c r="V43" s="3">
        <v>0</v>
      </c>
      <c r="W43" s="3">
        <v>0.29799999999999999</v>
      </c>
    </row>
    <row r="44" spans="1:58" ht="12.75" x14ac:dyDescent="0.2">
      <c r="A44" s="4" t="s">
        <v>28</v>
      </c>
      <c r="B44" s="3">
        <f>2.111+1.345</f>
        <v>3.4560000000000004</v>
      </c>
      <c r="C44" s="3">
        <f>1.1+1.394</f>
        <v>2.4939999999999998</v>
      </c>
      <c r="D44" s="3">
        <f>0.349+1.311</f>
        <v>1.66</v>
      </c>
      <c r="E44" s="3">
        <v>0</v>
      </c>
      <c r="F44" s="3">
        <f>0+0</f>
        <v>0</v>
      </c>
      <c r="G44" s="3">
        <v>0</v>
      </c>
      <c r="H44" s="3">
        <v>6.2549999999999999</v>
      </c>
      <c r="I44" s="3">
        <v>3.2000000000000001E-2</v>
      </c>
      <c r="L44" s="3"/>
      <c r="M44" s="3"/>
      <c r="N44" s="3"/>
      <c r="O44" s="3">
        <v>1.6870000000000001</v>
      </c>
      <c r="P44" s="3">
        <v>1.367</v>
      </c>
      <c r="Q44" s="3">
        <f>0.325+0.567</f>
        <v>0.8919999999999999</v>
      </c>
      <c r="R44" s="3">
        <f>1.068+0</f>
        <v>1.0680000000000001</v>
      </c>
      <c r="S44" s="3">
        <f>3.268+0</f>
        <v>3.2679999999999998</v>
      </c>
      <c r="T44" s="3">
        <f>2.111+1.345</f>
        <v>3.4560000000000004</v>
      </c>
      <c r="U44" s="3">
        <f>0.349+1.311</f>
        <v>1.66</v>
      </c>
      <c r="V44" s="45">
        <v>0</v>
      </c>
      <c r="W44" s="45">
        <v>6.2549999999999999</v>
      </c>
    </row>
    <row r="45" spans="1:58" ht="12.75" x14ac:dyDescent="0.2">
      <c r="A45" s="4" t="s">
        <v>34</v>
      </c>
      <c r="B45" s="3">
        <f>0.824+1.001</f>
        <v>1.8249999999999997</v>
      </c>
      <c r="C45" s="3">
        <f>0.932+0.965</f>
        <v>1.897</v>
      </c>
      <c r="D45" s="3">
        <f>0.846+0.425</f>
        <v>1.2709999999999999</v>
      </c>
      <c r="E45" s="3">
        <f>1.285+0.395</f>
        <v>1.68</v>
      </c>
      <c r="F45" s="3">
        <f>1.285+0.395</f>
        <v>1.68</v>
      </c>
      <c r="G45" s="3">
        <f>1.479+0.496</f>
        <v>1.9750000000000001</v>
      </c>
      <c r="H45" s="3">
        <v>0.83599999999999997</v>
      </c>
      <c r="I45" s="3">
        <v>1.5940000000000001</v>
      </c>
      <c r="L45" s="3"/>
      <c r="M45" s="3"/>
      <c r="N45" s="3"/>
      <c r="O45" s="3">
        <f>5.105+1.691</f>
        <v>6.7960000000000003</v>
      </c>
      <c r="P45" s="3">
        <f>4.185+1.375</f>
        <v>5.56</v>
      </c>
      <c r="Q45" s="3">
        <f>3.592+1.082</f>
        <v>4.6740000000000004</v>
      </c>
      <c r="R45" s="3">
        <f>2.721+1.018</f>
        <v>3.7389999999999999</v>
      </c>
      <c r="S45" s="3">
        <f>0.549+0.241</f>
        <v>0.79</v>
      </c>
      <c r="T45" s="3">
        <f>0.824+1.001</f>
        <v>1.8249999999999997</v>
      </c>
      <c r="U45" s="3">
        <f>0.846+0.425</f>
        <v>1.2709999999999999</v>
      </c>
      <c r="V45" s="3">
        <f>1.285+0.395</f>
        <v>1.68</v>
      </c>
      <c r="W45" s="3">
        <f>0.836+0</f>
        <v>0.83599999999999997</v>
      </c>
    </row>
    <row r="46" spans="1:58" ht="12.75" x14ac:dyDescent="0.2">
      <c r="A46" s="4" t="s">
        <v>35</v>
      </c>
      <c r="B46" s="3">
        <v>158.50399999999999</v>
      </c>
      <c r="C46" s="3">
        <v>170.79</v>
      </c>
      <c r="D46" s="3">
        <v>211.203</v>
      </c>
      <c r="E46" s="3">
        <v>222.816</v>
      </c>
      <c r="F46" s="3">
        <v>222.816</v>
      </c>
      <c r="G46" s="3">
        <v>279.13600000000002</v>
      </c>
      <c r="H46" s="3">
        <v>288.18099999999998</v>
      </c>
      <c r="I46" s="3">
        <v>234.893</v>
      </c>
      <c r="L46" s="3"/>
      <c r="M46" s="3"/>
      <c r="N46" s="3"/>
      <c r="O46" s="3">
        <v>100.82599999999999</v>
      </c>
      <c r="P46" s="3">
        <v>102.465</v>
      </c>
      <c r="Q46" s="3">
        <v>93.912999999999997</v>
      </c>
      <c r="R46" s="3">
        <v>126.16800000000001</v>
      </c>
      <c r="S46" s="3">
        <v>147.994</v>
      </c>
      <c r="T46" s="3">
        <v>158.50399999999999</v>
      </c>
      <c r="U46" s="3">
        <v>211.203</v>
      </c>
      <c r="V46" s="3">
        <v>222.816</v>
      </c>
      <c r="W46" s="3">
        <v>288.18099999999998</v>
      </c>
    </row>
    <row r="47" spans="1:58" ht="12.75" x14ac:dyDescent="0.2">
      <c r="A47" s="4" t="s">
        <v>32</v>
      </c>
      <c r="B47" s="3">
        <v>7.0000000000000001E-3</v>
      </c>
      <c r="C47" s="3">
        <v>3.0000000000000001E-3</v>
      </c>
      <c r="D47" s="3">
        <v>2.1999999999999999E-2</v>
      </c>
      <c r="E47" s="3">
        <v>1.8620000000000001</v>
      </c>
      <c r="F47" s="3">
        <v>1.8620000000000001</v>
      </c>
      <c r="G47" s="3">
        <v>1.0489999999999999</v>
      </c>
      <c r="H47" s="3">
        <v>0.51400000000000001</v>
      </c>
      <c r="I47" s="3">
        <v>1.0469999999999999</v>
      </c>
      <c r="L47" s="3"/>
      <c r="M47" s="3"/>
      <c r="N47" s="3"/>
      <c r="O47" s="3">
        <v>0.04</v>
      </c>
      <c r="P47" s="3">
        <v>0.28699999999999998</v>
      </c>
      <c r="Q47" s="45">
        <v>1.7210000000000001</v>
      </c>
      <c r="R47" s="45">
        <v>0.83199999999999996</v>
      </c>
      <c r="S47" s="45">
        <v>0.77200000000000002</v>
      </c>
      <c r="T47" s="45">
        <v>7.0000000000000001E-3</v>
      </c>
      <c r="U47" s="45">
        <v>2.1999999999999999E-2</v>
      </c>
      <c r="V47" s="45">
        <v>1.8620000000000001</v>
      </c>
      <c r="W47" s="45">
        <v>0.51400000000000001</v>
      </c>
    </row>
    <row r="48" spans="1:58" ht="12.75" x14ac:dyDescent="0.2">
      <c r="A48" s="43" t="s">
        <v>55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L48" s="3"/>
      <c r="M48" s="3"/>
      <c r="N48" s="3"/>
      <c r="O48" s="3">
        <v>0</v>
      </c>
      <c r="P48" s="3">
        <v>0</v>
      </c>
      <c r="Q48" s="45">
        <v>13.11</v>
      </c>
      <c r="R48" s="45">
        <v>18.004999999999999</v>
      </c>
      <c r="S48" s="45">
        <v>0</v>
      </c>
      <c r="T48" s="45">
        <v>0</v>
      </c>
      <c r="U48" s="45">
        <v>0</v>
      </c>
      <c r="V48" s="45">
        <v>0</v>
      </c>
      <c r="W48" s="45">
        <v>0</v>
      </c>
    </row>
    <row r="49" spans="1:23" s="15" customFormat="1" ht="12.75" x14ac:dyDescent="0.2">
      <c r="A49" s="17" t="s">
        <v>36</v>
      </c>
      <c r="B49" s="15">
        <f t="shared" ref="B49:I49" si="57">+SUM(B41:B48)</f>
        <v>1966.9079999999999</v>
      </c>
      <c r="C49" s="15">
        <f t="shared" si="57"/>
        <v>2047.2119999999995</v>
      </c>
      <c r="D49" s="15">
        <f t="shared" si="57"/>
        <v>2137.2709999999997</v>
      </c>
      <c r="E49" s="15">
        <f t="shared" si="57"/>
        <v>2445.0079999999998</v>
      </c>
      <c r="F49" s="15">
        <f t="shared" si="57"/>
        <v>2445.0079999999998</v>
      </c>
      <c r="G49" s="15">
        <f t="shared" si="57"/>
        <v>2616.556</v>
      </c>
      <c r="H49" s="15">
        <f t="shared" si="57"/>
        <v>2830.5989999999997</v>
      </c>
      <c r="I49" s="15">
        <f t="shared" si="57"/>
        <v>2916.4209999999998</v>
      </c>
      <c r="O49" s="15">
        <f t="shared" ref="O49:W49" si="58">+SUM(O41:O48)</f>
        <v>592.28300000000002</v>
      </c>
      <c r="P49" s="15">
        <f t="shared" si="58"/>
        <v>347.48200000000003</v>
      </c>
      <c r="Q49" s="15">
        <f t="shared" si="58"/>
        <v>425.65399999999994</v>
      </c>
      <c r="R49" s="15">
        <f t="shared" si="58"/>
        <v>505.21599999999995</v>
      </c>
      <c r="S49" s="15">
        <f t="shared" si="58"/>
        <v>1686.665</v>
      </c>
      <c r="T49" s="15">
        <f t="shared" si="58"/>
        <v>1966.9079999999999</v>
      </c>
      <c r="U49" s="15">
        <f t="shared" si="58"/>
        <v>2137.2709999999997</v>
      </c>
      <c r="V49" s="15">
        <f t="shared" si="58"/>
        <v>2445.0079999999998</v>
      </c>
      <c r="W49" s="15">
        <f t="shared" si="58"/>
        <v>2830.5989999999997</v>
      </c>
    </row>
    <row r="50" spans="1:23" ht="12.75" x14ac:dyDescent="0.2">
      <c r="A50" s="4" t="s">
        <v>37</v>
      </c>
      <c r="B50" s="3">
        <f t="shared" ref="B50:I50" si="59">+B40-B49</f>
        <v>310.70200000000023</v>
      </c>
      <c r="C50" s="3">
        <f t="shared" si="59"/>
        <v>435.07000000000016</v>
      </c>
      <c r="D50" s="3">
        <f t="shared" si="59"/>
        <v>410.58199999999988</v>
      </c>
      <c r="E50" s="3">
        <f t="shared" si="59"/>
        <v>405.39500000000044</v>
      </c>
      <c r="F50" s="3">
        <f t="shared" si="59"/>
        <v>405.39500000000044</v>
      </c>
      <c r="G50" s="3">
        <f t="shared" si="59"/>
        <v>399.62699999999995</v>
      </c>
      <c r="H50" s="3">
        <f t="shared" si="59"/>
        <v>403.97600000000057</v>
      </c>
      <c r="I50" s="3">
        <f t="shared" si="59"/>
        <v>408.29199999999992</v>
      </c>
      <c r="L50" s="3"/>
      <c r="M50" s="3"/>
      <c r="N50" s="3"/>
      <c r="O50" s="3">
        <v>-23.594999999999999</v>
      </c>
      <c r="P50" s="3">
        <v>305.077</v>
      </c>
      <c r="Q50" s="3">
        <v>317.31099999999998</v>
      </c>
      <c r="R50" s="3">
        <v>327.06700000000001</v>
      </c>
      <c r="S50" s="3">
        <v>306.48599999999999</v>
      </c>
      <c r="T50" s="3">
        <v>310.702</v>
      </c>
      <c r="U50" s="3">
        <v>410.58199999999999</v>
      </c>
      <c r="V50" s="3">
        <v>405.39499999999998</v>
      </c>
      <c r="W50" s="3">
        <v>403.976</v>
      </c>
    </row>
    <row r="51" spans="1:23" ht="12.75" x14ac:dyDescent="0.2">
      <c r="A51" s="4" t="s">
        <v>38</v>
      </c>
      <c r="B51" s="3">
        <f t="shared" ref="B51:I51" si="60">+B49+B50</f>
        <v>2277.61</v>
      </c>
      <c r="C51" s="3">
        <f t="shared" si="60"/>
        <v>2482.2819999999997</v>
      </c>
      <c r="D51" s="3">
        <f t="shared" si="60"/>
        <v>2547.8529999999996</v>
      </c>
      <c r="E51" s="3">
        <f t="shared" si="60"/>
        <v>2850.4030000000002</v>
      </c>
      <c r="F51" s="3">
        <f t="shared" si="60"/>
        <v>2850.4030000000002</v>
      </c>
      <c r="G51" s="3">
        <f t="shared" si="60"/>
        <v>3016.183</v>
      </c>
      <c r="H51" s="3">
        <f t="shared" si="60"/>
        <v>3234.5750000000003</v>
      </c>
      <c r="I51" s="3">
        <f t="shared" si="60"/>
        <v>3324.7129999999997</v>
      </c>
      <c r="L51" s="3"/>
      <c r="M51" s="3"/>
      <c r="N51" s="3"/>
      <c r="O51" s="3">
        <f t="shared" ref="O51:W51" si="61">+O50+O49</f>
        <v>568.68799999999999</v>
      </c>
      <c r="P51" s="3">
        <f t="shared" si="61"/>
        <v>652.55899999999997</v>
      </c>
      <c r="Q51" s="3">
        <f t="shared" si="61"/>
        <v>742.96499999999992</v>
      </c>
      <c r="R51" s="3">
        <f t="shared" si="61"/>
        <v>832.2829999999999</v>
      </c>
      <c r="S51" s="3">
        <f t="shared" si="61"/>
        <v>1993.1509999999998</v>
      </c>
      <c r="T51" s="3">
        <f t="shared" si="61"/>
        <v>2277.6099999999997</v>
      </c>
      <c r="U51" s="3">
        <f t="shared" si="61"/>
        <v>2547.8529999999996</v>
      </c>
      <c r="V51" s="3">
        <f t="shared" si="61"/>
        <v>2850.4029999999998</v>
      </c>
      <c r="W51" s="3">
        <f t="shared" si="61"/>
        <v>3234.5749999999998</v>
      </c>
    </row>
    <row r="52" spans="1:23" ht="12.75" x14ac:dyDescent="0.2">
      <c r="B52" s="3"/>
      <c r="H52" s="3"/>
      <c r="L52" s="3"/>
      <c r="M52" s="3"/>
      <c r="N52" s="3"/>
      <c r="O52" s="3"/>
      <c r="P52" s="3"/>
      <c r="Q52" s="3"/>
    </row>
    <row r="53" spans="1:23" ht="12.75" x14ac:dyDescent="0.2">
      <c r="A53" s="43" t="s">
        <v>114</v>
      </c>
      <c r="B53" s="3"/>
      <c r="H53" s="3"/>
      <c r="L53" s="3"/>
      <c r="M53" s="3"/>
      <c r="N53" s="3"/>
      <c r="O53" s="3">
        <f>568.688-143.648</f>
        <v>425.03999999999996</v>
      </c>
      <c r="P53" s="3">
        <f>652.559-154.527</f>
        <v>498.03199999999998</v>
      </c>
      <c r="Q53" s="3">
        <f>742.965-97.303</f>
        <v>645.66200000000003</v>
      </c>
      <c r="R53" s="45">
        <f>39.905-128.018</f>
        <v>-88.113</v>
      </c>
      <c r="S53" s="3">
        <f>106.194-287.854</f>
        <v>-181.65999999999997</v>
      </c>
      <c r="T53" s="3">
        <f>122.463-398.084</f>
        <v>-275.62099999999998</v>
      </c>
      <c r="U53" s="3">
        <f>174.082-509.325</f>
        <v>-335.24299999999999</v>
      </c>
      <c r="V53" s="3">
        <f>143.38-454.859</f>
        <v>-311.47899999999998</v>
      </c>
      <c r="W53" s="3">
        <f>176.875-560.716</f>
        <v>-383.84100000000001</v>
      </c>
    </row>
    <row r="54" spans="1:23" s="11" customFormat="1" ht="12.75" x14ac:dyDescent="0.2">
      <c r="A54" s="33"/>
      <c r="B54" s="33"/>
      <c r="H54" s="27"/>
    </row>
    <row r="55" spans="1:23" ht="12.75" x14ac:dyDescent="0.2">
      <c r="A55" s="60" t="s">
        <v>125</v>
      </c>
      <c r="B55" s="22"/>
      <c r="D55" s="3">
        <f t="shared" ref="D55:I55" si="62">+SUM(C15:D15)</f>
        <v>-173.19099999999997</v>
      </c>
      <c r="E55" s="3">
        <f t="shared" si="62"/>
        <v>-59.758000000000024</v>
      </c>
      <c r="F55" s="3">
        <f t="shared" si="62"/>
        <v>117.06400000000005</v>
      </c>
      <c r="G55" s="3">
        <f t="shared" si="62"/>
        <v>139.70300000000003</v>
      </c>
      <c r="H55" s="3">
        <f t="shared" si="62"/>
        <v>-2.6800000000000277</v>
      </c>
      <c r="I55" s="3">
        <f t="shared" si="62"/>
        <v>6.3540000000001298</v>
      </c>
      <c r="L55" s="3"/>
      <c r="M55" s="3"/>
      <c r="N55" s="3"/>
      <c r="O55" s="3">
        <f t="shared" ref="O55:W55" si="63">+O15</f>
        <v>-22.964999999999996</v>
      </c>
      <c r="P55" s="3">
        <f t="shared" si="63"/>
        <v>-31.052000000000028</v>
      </c>
      <c r="Q55" s="3">
        <f t="shared" si="63"/>
        <v>11.117999999999984</v>
      </c>
      <c r="R55" s="3">
        <f t="shared" si="63"/>
        <v>17.527999999999974</v>
      </c>
      <c r="S55" s="3">
        <f t="shared" si="63"/>
        <v>11.041999999999945</v>
      </c>
      <c r="T55" s="3">
        <f t="shared" si="63"/>
        <v>-136.44600000000003</v>
      </c>
      <c r="U55" s="3">
        <f t="shared" si="63"/>
        <v>-173.191</v>
      </c>
      <c r="V55" s="3">
        <f t="shared" si="63"/>
        <v>-6.1040000000000001</v>
      </c>
      <c r="W55" s="3">
        <f t="shared" si="63"/>
        <v>-2.6799999999998567</v>
      </c>
    </row>
    <row r="56" spans="1:23" s="11" customFormat="1" ht="12.75" x14ac:dyDescent="0.2">
      <c r="A56" s="59" t="s">
        <v>124</v>
      </c>
      <c r="B56" s="30"/>
      <c r="D56" s="34">
        <f t="shared" ref="D56:I56" si="64">+D55/(D30+D31+D32+D33+D34+D35+D36+D37)</f>
        <v>-7.7646646360326046E-2</v>
      </c>
      <c r="E56" s="34">
        <f t="shared" si="64"/>
        <v>-2.3347756864200674E-2</v>
      </c>
      <c r="F56" s="34">
        <f t="shared" si="64"/>
        <v>4.5737504761718728E-2</v>
      </c>
      <c r="G56" s="34">
        <f t="shared" si="64"/>
        <v>5.1308466339504193E-2</v>
      </c>
      <c r="H56" s="34">
        <f t="shared" si="64"/>
        <v>-9.1942697742842031E-4</v>
      </c>
      <c r="I56" s="34">
        <f t="shared" si="64"/>
        <v>2.0997580023945734E-3</v>
      </c>
      <c r="K56" s="34"/>
      <c r="O56" s="11">
        <f t="shared" ref="O56:W56" si="65">+O15/(O30+O31+O32+O33+O34+O35+O36+O37+O39)</f>
        <v>-8.6984353043221344E-2</v>
      </c>
      <c r="P56" s="11">
        <f t="shared" si="65"/>
        <v>-8.7139537755228119E-2</v>
      </c>
      <c r="Q56" s="11">
        <f t="shared" si="65"/>
        <v>2.4158588815081809E-2</v>
      </c>
      <c r="R56" s="11">
        <f t="shared" si="65"/>
        <v>3.0960813233592649E-2</v>
      </c>
      <c r="S56" s="11">
        <f t="shared" si="65"/>
        <v>6.6125699913165518E-3</v>
      </c>
      <c r="T56" s="11">
        <f t="shared" si="65"/>
        <v>-6.9795099723727105E-2</v>
      </c>
      <c r="U56" s="11">
        <f t="shared" si="65"/>
        <v>-7.764664636032606E-2</v>
      </c>
      <c r="V56" s="11">
        <f t="shared" si="65"/>
        <v>-2.3848640834546143E-3</v>
      </c>
      <c r="W56" s="11">
        <f t="shared" si="65"/>
        <v>-9.1942697742836165E-4</v>
      </c>
    </row>
    <row r="57" spans="1:23" ht="12.75" x14ac:dyDescent="0.2">
      <c r="L57" s="3"/>
      <c r="M57" s="3"/>
      <c r="N57" s="3"/>
      <c r="O57" s="3"/>
      <c r="P57" s="3"/>
      <c r="Q57" s="3"/>
    </row>
    <row r="58" spans="1:23" s="15" customFormat="1" ht="12.75" x14ac:dyDescent="0.2">
      <c r="A58" s="17" t="s">
        <v>50</v>
      </c>
      <c r="B58" s="17"/>
      <c r="O58" s="15">
        <v>51.915999999999997</v>
      </c>
      <c r="P58" s="15">
        <v>33.164999999999999</v>
      </c>
      <c r="Q58" s="15">
        <v>95.965999999999994</v>
      </c>
      <c r="R58" s="15">
        <v>117.93300000000001</v>
      </c>
      <c r="S58" s="15">
        <v>229.91</v>
      </c>
      <c r="T58" s="15">
        <v>100.919</v>
      </c>
      <c r="U58" s="15">
        <v>74.474999999999994</v>
      </c>
      <c r="V58" s="15">
        <v>372.64400000000001</v>
      </c>
      <c r="W58" s="15">
        <v>490.45299999999997</v>
      </c>
    </row>
    <row r="59" spans="1:23" s="15" customFormat="1" ht="12.75" x14ac:dyDescent="0.2">
      <c r="A59" s="17" t="s">
        <v>51</v>
      </c>
      <c r="B59" s="17"/>
      <c r="O59" s="15">
        <v>-64.915999999999997</v>
      </c>
      <c r="P59" s="15">
        <v>-109.235</v>
      </c>
      <c r="Q59" s="15">
        <v>-162.19</v>
      </c>
      <c r="R59" s="15">
        <v>-160.08199999999999</v>
      </c>
      <c r="S59" s="15">
        <v>-220.81800000000001</v>
      </c>
      <c r="T59" s="15">
        <v>-208.88</v>
      </c>
      <c r="U59" s="15">
        <v>-172.11600000000001</v>
      </c>
      <c r="V59" s="15">
        <v>-271.84899999999999</v>
      </c>
      <c r="W59" s="15">
        <v>-322.33100000000002</v>
      </c>
    </row>
    <row r="60" spans="1:23" s="61" customFormat="1" ht="12.75" x14ac:dyDescent="0.2">
      <c r="A60" s="59"/>
      <c r="B60" s="59"/>
    </row>
    <row r="61" spans="1:23" s="15" customFormat="1" ht="12.75" x14ac:dyDescent="0.2">
      <c r="A61" s="17"/>
      <c r="B61" s="17"/>
    </row>
    <row r="62" spans="1:23" s="15" customFormat="1" ht="12.75" x14ac:dyDescent="0.2">
      <c r="A62" s="17" t="s">
        <v>52</v>
      </c>
      <c r="B62" s="17"/>
      <c r="O62" s="15">
        <f t="shared" ref="O62:W62" si="66">+O58+O59</f>
        <v>-13</v>
      </c>
      <c r="P62" s="15">
        <f t="shared" si="66"/>
        <v>-76.069999999999993</v>
      </c>
      <c r="Q62" s="15">
        <f t="shared" si="66"/>
        <v>-66.224000000000004</v>
      </c>
      <c r="R62" s="15">
        <f t="shared" si="66"/>
        <v>-42.148999999999987</v>
      </c>
      <c r="S62" s="15">
        <f t="shared" si="66"/>
        <v>9.0919999999999845</v>
      </c>
      <c r="T62" s="15">
        <f t="shared" si="66"/>
        <v>-107.961</v>
      </c>
      <c r="U62" s="15">
        <f t="shared" si="66"/>
        <v>-97.64100000000002</v>
      </c>
      <c r="V62" s="15">
        <f t="shared" si="66"/>
        <v>100.79500000000002</v>
      </c>
      <c r="W62" s="15">
        <f t="shared" si="66"/>
        <v>168.12199999999996</v>
      </c>
    </row>
    <row r="64" spans="1:23" ht="12.75" x14ac:dyDescent="0.2">
      <c r="L64" s="3"/>
      <c r="M64" s="3"/>
      <c r="N64" s="3"/>
      <c r="O64" s="3"/>
      <c r="P64" s="3"/>
      <c r="Q64" s="3"/>
    </row>
    <row r="65" spans="7:40" ht="12.75" x14ac:dyDescent="0.2">
      <c r="L65" s="3"/>
      <c r="M65" s="3"/>
      <c r="N65" s="3"/>
      <c r="O65" s="3"/>
      <c r="P65" s="3"/>
      <c r="Q65" s="3"/>
      <c r="AN65" s="62"/>
    </row>
    <row r="66" spans="7:40" ht="12.75" x14ac:dyDescent="0.2">
      <c r="L66" s="3"/>
      <c r="M66" s="3"/>
      <c r="N66" s="3"/>
      <c r="O66" s="3"/>
      <c r="P66" s="3"/>
      <c r="Q66" s="3"/>
    </row>
    <row r="67" spans="7:40" ht="12.75" x14ac:dyDescent="0.2">
      <c r="L67" s="3"/>
      <c r="M67" s="3"/>
      <c r="N67" s="3"/>
      <c r="O67" s="3"/>
      <c r="P67" s="3"/>
      <c r="Q67" s="3"/>
      <c r="AN67" s="62"/>
    </row>
    <row r="68" spans="7:40" ht="12.75" x14ac:dyDescent="0.2">
      <c r="L68" s="3"/>
      <c r="M68" s="3"/>
      <c r="N68" s="3"/>
      <c r="O68" s="3"/>
      <c r="P68" s="3"/>
      <c r="Q68" s="3"/>
    </row>
    <row r="69" spans="7:40" x14ac:dyDescent="0.25">
      <c r="AN69" s="62"/>
    </row>
    <row r="70" spans="7:40" ht="12.75" x14ac:dyDescent="0.2">
      <c r="L70" s="3"/>
      <c r="M70" s="3"/>
      <c r="N70" s="3"/>
      <c r="O70" s="3"/>
      <c r="P70" s="3"/>
      <c r="Q70" s="3"/>
    </row>
    <row r="71" spans="7:40" ht="12.75" x14ac:dyDescent="0.2">
      <c r="L71" s="3"/>
      <c r="M71" s="3"/>
      <c r="N71" s="3"/>
      <c r="O71" s="3"/>
      <c r="P71" s="3"/>
      <c r="Q71" s="3"/>
    </row>
    <row r="72" spans="7:40" ht="12.75" x14ac:dyDescent="0.2">
      <c r="L72" s="3"/>
      <c r="M72" s="3"/>
      <c r="N72" s="3"/>
      <c r="O72" s="3"/>
      <c r="P72" s="3"/>
      <c r="Q72" s="3"/>
    </row>
    <row r="73" spans="7:40" ht="12.75" x14ac:dyDescent="0.2">
      <c r="G73" s="45"/>
      <c r="L73" s="3"/>
      <c r="M73" s="3"/>
      <c r="N73" s="3"/>
      <c r="O73" s="3"/>
      <c r="P73" s="3"/>
      <c r="Q73" s="3"/>
    </row>
    <row r="74" spans="7:40" ht="12.75" x14ac:dyDescent="0.2">
      <c r="G74" s="45"/>
      <c r="L74" s="3"/>
      <c r="M74" s="3"/>
      <c r="N74" s="3"/>
      <c r="O74" s="3"/>
      <c r="P74" s="3"/>
      <c r="Q74" s="3"/>
    </row>
    <row r="75" spans="7:40" ht="12.75" x14ac:dyDescent="0.2">
      <c r="L75" s="3"/>
      <c r="M75" s="3"/>
      <c r="N75" s="3"/>
      <c r="O75" s="3"/>
      <c r="P75" s="3"/>
      <c r="Q75" s="3"/>
    </row>
    <row r="76" spans="7:40" ht="12.75" x14ac:dyDescent="0.2">
      <c r="L76" s="3"/>
      <c r="M76" s="3"/>
      <c r="N76" s="3"/>
      <c r="O76" s="3"/>
      <c r="P76" s="3"/>
      <c r="Q76" s="3"/>
    </row>
    <row r="77" spans="7:40" ht="12.75" x14ac:dyDescent="0.2">
      <c r="L77" s="3"/>
      <c r="M77" s="3"/>
      <c r="N77" s="3"/>
      <c r="O77" s="3"/>
      <c r="P77" s="3"/>
      <c r="Q77" s="3"/>
    </row>
    <row r="78" spans="7:40" ht="12.75" x14ac:dyDescent="0.2">
      <c r="L78" s="3"/>
      <c r="M78" s="3"/>
      <c r="N78" s="3"/>
      <c r="O78" s="3"/>
      <c r="P78" s="3"/>
      <c r="Q78" s="3"/>
    </row>
    <row r="79" spans="7:40" ht="12.75" x14ac:dyDescent="0.2">
      <c r="L79" s="3"/>
      <c r="M79" s="3"/>
      <c r="N79" s="3"/>
      <c r="O79" s="3"/>
      <c r="P79" s="3"/>
      <c r="Q79" s="3"/>
    </row>
    <row r="80" spans="7:40" ht="12.75" x14ac:dyDescent="0.2">
      <c r="L80" s="3"/>
      <c r="M80" s="3"/>
      <c r="N80" s="3"/>
      <c r="O80" s="3"/>
      <c r="P80" s="3"/>
      <c r="Q80" s="3"/>
    </row>
    <row r="82" spans="12:17" ht="12.75" x14ac:dyDescent="0.2">
      <c r="L82" s="3"/>
      <c r="M82" s="3"/>
      <c r="N82" s="3"/>
      <c r="O82" s="3"/>
      <c r="P82" s="3"/>
      <c r="Q82" s="3"/>
    </row>
    <row r="99" spans="12:17" ht="12.75" x14ac:dyDescent="0.2">
      <c r="L99" s="3"/>
      <c r="M99" s="3"/>
      <c r="N99" s="3"/>
      <c r="O99" s="3"/>
      <c r="P99" s="3"/>
      <c r="Q99" s="3"/>
    </row>
    <row r="100" spans="12:17" ht="12.75" x14ac:dyDescent="0.2">
      <c r="L100" s="3"/>
      <c r="M100" s="3"/>
      <c r="N100" s="3"/>
      <c r="O100" s="3"/>
      <c r="P100" s="3"/>
      <c r="Q100" s="3"/>
    </row>
  </sheetData>
  <pageMargins left="0.7" right="0.7" top="0.75" bottom="0.75" header="0.3" footer="0.3"/>
  <pageSetup paperSize="9" orientation="portrait" r:id="rId1"/>
  <ignoredErrors>
    <ignoredError sqref="G10 T10:V10 C10 D10 E10" formulaRange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6D24F-3934-4395-A17D-820E8BCB9D26}">
  <dimension ref="A1:AO2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8" sqref="Q28"/>
    </sheetView>
  </sheetViews>
  <sheetFormatPr defaultRowHeight="15" x14ac:dyDescent="0.25"/>
  <cols>
    <col min="1" max="1" width="19" bestFit="1" customWidth="1"/>
  </cols>
  <sheetData>
    <row r="1" spans="1:41" ht="34.5" x14ac:dyDescent="0.45">
      <c r="A1" s="18" t="s">
        <v>0</v>
      </c>
    </row>
    <row r="2" spans="1:41" x14ac:dyDescent="0.25">
      <c r="A2" s="12" t="s">
        <v>1</v>
      </c>
    </row>
    <row r="3" spans="1:41" s="3" customFormat="1" ht="12.75" x14ac:dyDescent="0.2">
      <c r="A3" s="1" t="s">
        <v>2</v>
      </c>
      <c r="B3" s="36" t="s">
        <v>84</v>
      </c>
      <c r="C3" s="37" t="s">
        <v>64</v>
      </c>
      <c r="D3" s="14" t="s">
        <v>58</v>
      </c>
      <c r="E3" s="14" t="s">
        <v>65</v>
      </c>
      <c r="F3" s="14" t="s">
        <v>59</v>
      </c>
      <c r="G3" s="14" t="s">
        <v>66</v>
      </c>
      <c r="H3" s="14" t="s">
        <v>60</v>
      </c>
      <c r="I3" s="14" t="s">
        <v>67</v>
      </c>
      <c r="J3" s="14" t="s">
        <v>61</v>
      </c>
      <c r="K3" s="14" t="s">
        <v>68</v>
      </c>
      <c r="L3" s="14" t="s">
        <v>62</v>
      </c>
      <c r="M3" s="14" t="s">
        <v>69</v>
      </c>
      <c r="N3" s="23" t="s">
        <v>63</v>
      </c>
      <c r="O3" s="14" t="s">
        <v>70</v>
      </c>
      <c r="P3" s="14" t="s">
        <v>72</v>
      </c>
      <c r="Q3" s="14" t="s">
        <v>73</v>
      </c>
      <c r="R3" s="14" t="s">
        <v>74</v>
      </c>
      <c r="U3" s="2">
        <v>2020</v>
      </c>
      <c r="V3" s="2">
        <f>+U3+1</f>
        <v>2021</v>
      </c>
      <c r="W3" s="2">
        <f t="shared" ref="W3:AO3" si="0">+V3+1</f>
        <v>2022</v>
      </c>
      <c r="X3" s="2">
        <f t="shared" si="0"/>
        <v>2023</v>
      </c>
      <c r="Y3" s="2">
        <f t="shared" si="0"/>
        <v>2024</v>
      </c>
      <c r="Z3" s="2">
        <f t="shared" si="0"/>
        <v>2025</v>
      </c>
      <c r="AA3" s="2">
        <f t="shared" si="0"/>
        <v>2026</v>
      </c>
      <c r="AB3" s="2">
        <f t="shared" si="0"/>
        <v>2027</v>
      </c>
      <c r="AC3" s="2">
        <f t="shared" si="0"/>
        <v>2028</v>
      </c>
      <c r="AD3" s="2">
        <f t="shared" si="0"/>
        <v>2029</v>
      </c>
      <c r="AE3" s="2">
        <f t="shared" si="0"/>
        <v>2030</v>
      </c>
      <c r="AF3" s="2">
        <f t="shared" si="0"/>
        <v>2031</v>
      </c>
      <c r="AG3" s="2">
        <f t="shared" si="0"/>
        <v>2032</v>
      </c>
      <c r="AH3" s="2">
        <f t="shared" si="0"/>
        <v>2033</v>
      </c>
      <c r="AI3" s="2">
        <f t="shared" si="0"/>
        <v>2034</v>
      </c>
      <c r="AJ3" s="2">
        <f t="shared" si="0"/>
        <v>2035</v>
      </c>
      <c r="AK3" s="2">
        <f t="shared" si="0"/>
        <v>2036</v>
      </c>
      <c r="AL3" s="2">
        <f t="shared" si="0"/>
        <v>2037</v>
      </c>
      <c r="AM3" s="2">
        <f t="shared" si="0"/>
        <v>2038</v>
      </c>
      <c r="AN3" s="2">
        <f t="shared" si="0"/>
        <v>2039</v>
      </c>
      <c r="AO3" s="2">
        <f t="shared" si="0"/>
        <v>2040</v>
      </c>
    </row>
    <row r="4" spans="1:41" s="3" customFormat="1" ht="12.75" x14ac:dyDescent="0.2">
      <c r="A4" s="4" t="s">
        <v>39</v>
      </c>
      <c r="B4" s="4"/>
      <c r="C4" s="4"/>
      <c r="D4" s="3">
        <f>216+205+10</f>
        <v>431</v>
      </c>
      <c r="F4" s="3">
        <f>216+205+10</f>
        <v>431</v>
      </c>
      <c r="H4" s="3">
        <f>224+213+10</f>
        <v>447</v>
      </c>
      <c r="I4" s="3">
        <f>228+215+10</f>
        <v>453</v>
      </c>
      <c r="J4" s="3">
        <f>231+219+10</f>
        <v>460</v>
      </c>
      <c r="K4" s="3">
        <f>233+220+10</f>
        <v>463</v>
      </c>
      <c r="L4" s="3">
        <f>235+222+10</f>
        <v>467</v>
      </c>
      <c r="M4" s="3">
        <f>238+222+10</f>
        <v>470</v>
      </c>
      <c r="N4" s="23">
        <f>237+223+10</f>
        <v>470</v>
      </c>
      <c r="O4" s="3">
        <f>240+224+10</f>
        <v>474</v>
      </c>
      <c r="P4" s="3">
        <f>241+227+10</f>
        <v>478</v>
      </c>
      <c r="Q4" s="3">
        <f>242+229+10</f>
        <v>481</v>
      </c>
      <c r="R4" s="3">
        <f>245+235+10</f>
        <v>490</v>
      </c>
    </row>
    <row r="5" spans="1:41" s="3" customFormat="1" ht="12.75" x14ac:dyDescent="0.2">
      <c r="A5" s="4" t="s">
        <v>40</v>
      </c>
      <c r="B5" s="4"/>
      <c r="C5" s="4"/>
      <c r="D5" s="3">
        <v>492</v>
      </c>
      <c r="F5" s="3">
        <v>528</v>
      </c>
      <c r="H5" s="3">
        <v>608</v>
      </c>
      <c r="I5" s="3">
        <v>633</v>
      </c>
      <c r="J5" s="3">
        <v>647</v>
      </c>
      <c r="K5" s="3">
        <v>696</v>
      </c>
      <c r="L5" s="3">
        <v>718</v>
      </c>
      <c r="M5" s="3">
        <v>763</v>
      </c>
      <c r="N5" s="23">
        <v>781</v>
      </c>
      <c r="O5" s="3">
        <v>814</v>
      </c>
      <c r="P5" s="3">
        <v>834</v>
      </c>
      <c r="Q5" s="3">
        <v>852</v>
      </c>
      <c r="R5" s="3">
        <f>858+77</f>
        <v>935</v>
      </c>
    </row>
    <row r="6" spans="1:41" s="3" customFormat="1" ht="12.75" x14ac:dyDescent="0.2">
      <c r="A6" s="4" t="s">
        <v>41</v>
      </c>
      <c r="B6" s="4"/>
      <c r="C6" s="4"/>
      <c r="D6" s="3">
        <v>50</v>
      </c>
      <c r="F6" s="3">
        <v>56</v>
      </c>
      <c r="H6" s="3">
        <v>67</v>
      </c>
      <c r="I6" s="3">
        <v>74</v>
      </c>
      <c r="J6" s="3">
        <v>90</v>
      </c>
      <c r="K6" s="3">
        <v>104</v>
      </c>
      <c r="L6" s="3">
        <v>112</v>
      </c>
      <c r="M6" s="3">
        <v>135</v>
      </c>
      <c r="N6" s="23">
        <v>139</v>
      </c>
      <c r="O6" s="3">
        <v>199</v>
      </c>
      <c r="P6" s="3">
        <v>201</v>
      </c>
      <c r="Q6" s="3">
        <v>209</v>
      </c>
      <c r="R6" s="3">
        <f>209+70</f>
        <v>279</v>
      </c>
    </row>
    <row r="7" spans="1:41" s="3" customFormat="1" ht="12.75" x14ac:dyDescent="0.2">
      <c r="A7" s="4" t="s">
        <v>42</v>
      </c>
      <c r="B7" s="4"/>
      <c r="C7" s="4"/>
      <c r="D7" s="3">
        <v>0</v>
      </c>
      <c r="F7" s="3">
        <v>0</v>
      </c>
      <c r="H7" s="3">
        <v>0</v>
      </c>
      <c r="I7" s="3">
        <v>0</v>
      </c>
      <c r="J7" s="3">
        <v>3</v>
      </c>
      <c r="K7" s="3">
        <v>5</v>
      </c>
      <c r="L7" s="3">
        <v>6</v>
      </c>
      <c r="M7" s="3">
        <v>8</v>
      </c>
      <c r="N7" s="23">
        <v>12</v>
      </c>
      <c r="O7" s="3">
        <v>19</v>
      </c>
      <c r="P7" s="3">
        <v>24</v>
      </c>
      <c r="Q7" s="3">
        <v>28</v>
      </c>
      <c r="R7" s="3">
        <f>28+16</f>
        <v>44</v>
      </c>
    </row>
    <row r="8" spans="1:41" s="5" customFormat="1" ht="12.75" x14ac:dyDescent="0.2">
      <c r="A8" s="1" t="s">
        <v>44</v>
      </c>
      <c r="B8" s="1"/>
      <c r="C8" s="1">
        <v>905</v>
      </c>
      <c r="D8" s="5">
        <f>SUM(D4:D7)</f>
        <v>973</v>
      </c>
      <c r="E8" s="5">
        <v>995</v>
      </c>
      <c r="F8" s="5">
        <f>SUM(F4:F7)</f>
        <v>1015</v>
      </c>
      <c r="G8" s="5">
        <v>1087</v>
      </c>
      <c r="H8" s="5">
        <f>SUM(H4:H7)</f>
        <v>1122</v>
      </c>
      <c r="I8" s="5">
        <v>1160</v>
      </c>
      <c r="J8" s="5">
        <f t="shared" ref="J8:L8" si="1">SUM(J4:J7)</f>
        <v>1200</v>
      </c>
      <c r="K8" s="5">
        <v>1268</v>
      </c>
      <c r="L8" s="5">
        <f t="shared" si="1"/>
        <v>1303</v>
      </c>
      <c r="M8" s="5">
        <v>1376</v>
      </c>
      <c r="N8" s="25">
        <f>SUM(N4:N7)</f>
        <v>1402</v>
      </c>
      <c r="O8" s="5">
        <f>SUM(O4:O7)</f>
        <v>1506</v>
      </c>
      <c r="P8" s="5">
        <f>SUM(P4:P7)</f>
        <v>1537</v>
      </c>
      <c r="Q8" s="5">
        <f>SUM(Q4:Q7)</f>
        <v>1570</v>
      </c>
      <c r="R8" s="65">
        <f>SUM(R4:R7)</f>
        <v>1748</v>
      </c>
      <c r="Y8" s="5">
        <v>1575</v>
      </c>
    </row>
    <row r="9" spans="1:41" s="3" customFormat="1" ht="12.75" x14ac:dyDescent="0.2">
      <c r="A9" s="4"/>
      <c r="B9" s="4"/>
      <c r="C9" s="4"/>
      <c r="N9" s="23"/>
    </row>
    <row r="10" spans="1:41" s="3" customFormat="1" ht="12.75" x14ac:dyDescent="0.2">
      <c r="A10" s="4"/>
      <c r="B10" s="4"/>
      <c r="C10" s="4"/>
      <c r="N10" s="23"/>
    </row>
    <row r="11" spans="1:41" s="20" customFormat="1" ht="12.75" x14ac:dyDescent="0.2">
      <c r="A11" s="19" t="s">
        <v>43</v>
      </c>
      <c r="B11" s="19"/>
      <c r="C11" s="19">
        <v>1.8</v>
      </c>
      <c r="D11" s="20">
        <v>2.0099999999999998</v>
      </c>
      <c r="E11" s="20">
        <v>2.21</v>
      </c>
      <c r="F11" s="20">
        <v>2.2200000000000002</v>
      </c>
      <c r="G11" s="20">
        <v>2.63</v>
      </c>
      <c r="H11" s="20">
        <v>2.92</v>
      </c>
      <c r="I11" s="20">
        <v>3.15</v>
      </c>
      <c r="J11" s="20">
        <v>3.35</v>
      </c>
      <c r="K11" s="20">
        <v>3.6</v>
      </c>
      <c r="L11" s="20">
        <v>3.61</v>
      </c>
      <c r="M11" s="20">
        <v>3.71</v>
      </c>
      <c r="N11" s="26">
        <v>3.8</v>
      </c>
      <c r="O11" s="20">
        <v>4.05</v>
      </c>
      <c r="P11" s="20">
        <v>4.0999999999999996</v>
      </c>
      <c r="Q11" s="20">
        <v>4.2</v>
      </c>
      <c r="R11" s="20">
        <v>4.25</v>
      </c>
    </row>
    <row r="12" spans="1:41" s="20" customFormat="1" ht="12.75" x14ac:dyDescent="0.2">
      <c r="A12" s="19" t="s">
        <v>45</v>
      </c>
      <c r="B12" s="19"/>
      <c r="C12" s="19"/>
      <c r="G12" s="20">
        <v>21.51</v>
      </c>
      <c r="H12" s="20">
        <v>22.22</v>
      </c>
      <c r="I12" s="20">
        <v>22.5</v>
      </c>
      <c r="J12" s="20">
        <v>22.86</v>
      </c>
      <c r="K12" s="20">
        <v>23.57</v>
      </c>
      <c r="L12" s="20">
        <v>23.13</v>
      </c>
      <c r="M12" s="20">
        <v>23.28</v>
      </c>
      <c r="N12" s="26">
        <v>23.53</v>
      </c>
      <c r="O12" s="21">
        <v>23.57</v>
      </c>
      <c r="P12" s="20">
        <v>23.8</v>
      </c>
      <c r="Q12" s="20">
        <v>23.86</v>
      </c>
      <c r="Y12" s="20">
        <v>24.5</v>
      </c>
    </row>
    <row r="13" spans="1:41" s="20" customFormat="1" ht="12.75" x14ac:dyDescent="0.2">
      <c r="A13" s="19"/>
      <c r="B13" s="19"/>
      <c r="C13" s="19"/>
      <c r="N13" s="26"/>
      <c r="O13" s="21"/>
    </row>
    <row r="14" spans="1:41" s="8" customFormat="1" ht="12.75" x14ac:dyDescent="0.2">
      <c r="A14" s="7" t="s">
        <v>53</v>
      </c>
      <c r="B14" s="7"/>
      <c r="C14" s="7"/>
      <c r="H14" s="8">
        <f t="shared" ref="H14:P15" si="2">+H11/D11-1</f>
        <v>0.45273631840796025</v>
      </c>
      <c r="I14" s="8">
        <f t="shared" si="2"/>
        <v>0.42533936651583715</v>
      </c>
      <c r="J14" s="8">
        <f t="shared" si="2"/>
        <v>0.50900900900900892</v>
      </c>
      <c r="K14" s="8">
        <f t="shared" si="2"/>
        <v>0.36882129277566555</v>
      </c>
      <c r="L14" s="8">
        <f t="shared" si="2"/>
        <v>0.23630136986301364</v>
      </c>
      <c r="M14" s="8">
        <f t="shared" si="2"/>
        <v>0.17777777777777781</v>
      </c>
      <c r="N14" s="28">
        <f t="shared" si="2"/>
        <v>0.13432835820895517</v>
      </c>
      <c r="O14" s="8">
        <f t="shared" si="2"/>
        <v>0.125</v>
      </c>
      <c r="P14" s="8">
        <f t="shared" si="2"/>
        <v>0.1357340720221607</v>
      </c>
      <c r="Q14" s="8">
        <f>+Q11/M11-1</f>
        <v>0.13207547169811318</v>
      </c>
    </row>
    <row r="15" spans="1:41" s="8" customFormat="1" ht="12.75" x14ac:dyDescent="0.2">
      <c r="A15" s="7" t="s">
        <v>54</v>
      </c>
      <c r="B15" s="7"/>
      <c r="C15" s="7"/>
      <c r="K15" s="8">
        <f t="shared" si="2"/>
        <v>9.57694095769408E-2</v>
      </c>
      <c r="L15" s="8">
        <f t="shared" si="2"/>
        <v>4.0954095409540869E-2</v>
      </c>
      <c r="M15" s="8">
        <f t="shared" si="2"/>
        <v>3.4666666666666623E-2</v>
      </c>
      <c r="N15" s="28">
        <f t="shared" si="2"/>
        <v>2.9308836395450566E-2</v>
      </c>
      <c r="O15" s="8">
        <f t="shared" si="2"/>
        <v>0</v>
      </c>
      <c r="P15" s="8">
        <f t="shared" si="2"/>
        <v>2.896670990056216E-2</v>
      </c>
      <c r="Q15" s="8">
        <f>+Q12/M12-1</f>
        <v>2.4914089347078949E-2</v>
      </c>
    </row>
    <row r="16" spans="1:41" s="20" customFormat="1" ht="12.75" x14ac:dyDescent="0.2">
      <c r="A16" s="19"/>
      <c r="B16" s="19"/>
      <c r="C16" s="19"/>
      <c r="N16" s="26"/>
      <c r="O16" s="21"/>
    </row>
    <row r="17" spans="1:17" s="20" customFormat="1" ht="12.75" x14ac:dyDescent="0.2">
      <c r="A17" s="29" t="s">
        <v>75</v>
      </c>
      <c r="B17" s="29"/>
      <c r="C17" s="19"/>
      <c r="N17" s="26"/>
      <c r="O17" s="21"/>
    </row>
    <row r="18" spans="1:17" s="20" customFormat="1" ht="12.75" x14ac:dyDescent="0.2">
      <c r="A18" s="29" t="s">
        <v>76</v>
      </c>
      <c r="B18" s="29"/>
      <c r="C18" s="19"/>
      <c r="N18" s="26"/>
      <c r="O18" s="21"/>
    </row>
    <row r="19" spans="1:17" s="20" customFormat="1" ht="12.75" x14ac:dyDescent="0.2">
      <c r="A19" s="29" t="s">
        <v>77</v>
      </c>
      <c r="B19" s="29"/>
      <c r="C19" s="19"/>
      <c r="N19" s="26"/>
      <c r="O19" s="21"/>
    </row>
    <row r="20" spans="1:17" s="20" customFormat="1" ht="12.75" x14ac:dyDescent="0.2">
      <c r="A20" s="19"/>
      <c r="B20" s="19"/>
      <c r="C20" s="19"/>
      <c r="N20" s="26"/>
      <c r="O20" s="21"/>
    </row>
    <row r="21" spans="1:17" s="20" customFormat="1" ht="12.75" x14ac:dyDescent="0.2">
      <c r="A21" s="29" t="s">
        <v>78</v>
      </c>
      <c r="B21" s="29"/>
      <c r="C21" s="19"/>
      <c r="N21" s="26"/>
      <c r="O21" s="21"/>
    </row>
    <row r="22" spans="1:17" s="20" customFormat="1" ht="12.75" x14ac:dyDescent="0.2">
      <c r="A22" s="29" t="s">
        <v>79</v>
      </c>
      <c r="B22" s="29"/>
      <c r="C22" s="19"/>
      <c r="N22" s="26"/>
      <c r="O22" s="21"/>
    </row>
    <row r="23" spans="1:17" s="20" customFormat="1" ht="12.75" x14ac:dyDescent="0.2">
      <c r="A23" s="29" t="s">
        <v>80</v>
      </c>
      <c r="B23" s="29"/>
      <c r="C23" s="19"/>
      <c r="N23" s="26"/>
      <c r="O23" s="21"/>
    </row>
    <row r="24" spans="1:17" s="20" customFormat="1" ht="12.75" x14ac:dyDescent="0.2">
      <c r="A24" s="29" t="s">
        <v>40</v>
      </c>
      <c r="B24" s="29"/>
      <c r="C24" s="19"/>
      <c r="N24" s="26"/>
      <c r="O24" s="21"/>
    </row>
    <row r="25" spans="1:17" s="20" customFormat="1" ht="12.75" x14ac:dyDescent="0.2">
      <c r="A25" s="29" t="s">
        <v>41</v>
      </c>
      <c r="B25" s="29"/>
      <c r="C25" s="19"/>
      <c r="N25" s="26"/>
      <c r="O25" s="21"/>
    </row>
    <row r="26" spans="1:17" s="20" customFormat="1" ht="12.75" x14ac:dyDescent="0.2">
      <c r="A26" s="29" t="s">
        <v>42</v>
      </c>
      <c r="B26" s="29"/>
      <c r="C26" s="19"/>
      <c r="N26" s="26"/>
      <c r="O26" s="21"/>
    </row>
    <row r="27" spans="1:17" s="20" customFormat="1" ht="12.75" x14ac:dyDescent="0.2">
      <c r="A27" s="19"/>
      <c r="B27" s="19"/>
      <c r="C27" s="19"/>
      <c r="M27" s="3"/>
      <c r="N27" s="26"/>
      <c r="O27" s="21"/>
    </row>
    <row r="28" spans="1:17" s="23" customFormat="1" ht="12.75" x14ac:dyDescent="0.2">
      <c r="A28" s="22" t="s">
        <v>56</v>
      </c>
      <c r="B28" s="22"/>
      <c r="C28" s="22">
        <v>10.7</v>
      </c>
      <c r="D28" s="23">
        <f>+D29-C28</f>
        <v>42.3</v>
      </c>
      <c r="E28" s="23">
        <v>133</v>
      </c>
      <c r="F28" s="23">
        <f>+F29-E28</f>
        <v>155</v>
      </c>
      <c r="G28" s="23">
        <v>162</v>
      </c>
      <c r="H28" s="23">
        <f>+H29-G28</f>
        <v>193</v>
      </c>
      <c r="I28" s="23">
        <v>208</v>
      </c>
      <c r="J28" s="23">
        <f>+W29-SUM(G28:I28)</f>
        <v>-563</v>
      </c>
      <c r="K28" s="23">
        <v>245</v>
      </c>
      <c r="L28" s="23">
        <f>+L29-K28</f>
        <v>255</v>
      </c>
      <c r="M28" s="23">
        <v>265</v>
      </c>
      <c r="N28" s="24">
        <v>282</v>
      </c>
      <c r="O28" s="23">
        <v>284</v>
      </c>
      <c r="P28" s="23">
        <f>+P29-O28</f>
        <v>301</v>
      </c>
      <c r="Q28" s="23">
        <f>892-SUM(O28:P28)</f>
        <v>307</v>
      </c>
    </row>
    <row r="29" spans="1:17" x14ac:dyDescent="0.25">
      <c r="D29">
        <v>53</v>
      </c>
      <c r="F29">
        <v>288</v>
      </c>
      <c r="H29">
        <v>355</v>
      </c>
      <c r="L29">
        <v>500</v>
      </c>
      <c r="P29">
        <v>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DB43-DF81-4154-BF85-1460C0708D57}">
  <dimension ref="A1:W31"/>
  <sheetViews>
    <sheetView workbookViewId="0">
      <selection activeCell="F9" sqref="F9"/>
    </sheetView>
  </sheetViews>
  <sheetFormatPr defaultRowHeight="12.75" x14ac:dyDescent="0.2"/>
  <cols>
    <col min="1" max="1" width="2.5703125" style="43" customWidth="1"/>
    <col min="2" max="2" width="35" style="43" bestFit="1" customWidth="1"/>
    <col min="3" max="16384" width="9.140625" style="43"/>
  </cols>
  <sheetData>
    <row r="1" spans="1:23" s="41" customFormat="1" x14ac:dyDescent="0.2"/>
    <row r="2" spans="1:23" s="41" customFormat="1" x14ac:dyDescent="0.2"/>
    <row r="3" spans="1:23" s="3" customFormat="1" x14ac:dyDescent="0.2">
      <c r="A3" s="1"/>
      <c r="C3" s="2">
        <v>2020</v>
      </c>
      <c r="D3" s="2">
        <f>+C3+1</f>
        <v>2021</v>
      </c>
      <c r="E3" s="2">
        <f t="shared" ref="E3:W3" si="0">+D3+1</f>
        <v>2022</v>
      </c>
      <c r="F3" s="2">
        <f t="shared" si="0"/>
        <v>2023</v>
      </c>
      <c r="G3" s="2">
        <f t="shared" si="0"/>
        <v>2024</v>
      </c>
      <c r="H3" s="2">
        <f t="shared" si="0"/>
        <v>2025</v>
      </c>
      <c r="I3" s="2">
        <f t="shared" si="0"/>
        <v>2026</v>
      </c>
      <c r="J3" s="2">
        <f t="shared" si="0"/>
        <v>2027</v>
      </c>
      <c r="K3" s="2">
        <f t="shared" si="0"/>
        <v>2028</v>
      </c>
      <c r="L3" s="2">
        <f t="shared" si="0"/>
        <v>2029</v>
      </c>
      <c r="M3" s="2">
        <f t="shared" si="0"/>
        <v>2030</v>
      </c>
      <c r="N3" s="2">
        <f t="shared" si="0"/>
        <v>2031</v>
      </c>
      <c r="O3" s="2">
        <f t="shared" si="0"/>
        <v>2032</v>
      </c>
      <c r="P3" s="2">
        <f t="shared" si="0"/>
        <v>2033</v>
      </c>
      <c r="Q3" s="2">
        <f t="shared" si="0"/>
        <v>2034</v>
      </c>
      <c r="R3" s="2">
        <f t="shared" si="0"/>
        <v>2035</v>
      </c>
      <c r="S3" s="2">
        <f t="shared" si="0"/>
        <v>2036</v>
      </c>
      <c r="T3" s="2">
        <f t="shared" si="0"/>
        <v>2037</v>
      </c>
      <c r="U3" s="2">
        <f t="shared" si="0"/>
        <v>2038</v>
      </c>
      <c r="V3" s="2">
        <f t="shared" si="0"/>
        <v>2039</v>
      </c>
      <c r="W3" s="2">
        <f t="shared" si="0"/>
        <v>2040</v>
      </c>
    </row>
    <row r="4" spans="1:23" s="3" customFormat="1" x14ac:dyDescent="0.2">
      <c r="A4" s="4"/>
      <c r="B4" s="42" t="s">
        <v>9</v>
      </c>
      <c r="E4" s="3">
        <v>794.6</v>
      </c>
      <c r="F4" s="3">
        <v>1047.2</v>
      </c>
    </row>
    <row r="5" spans="1:23" x14ac:dyDescent="0.2">
      <c r="B5" s="43" t="s">
        <v>90</v>
      </c>
      <c r="E5" s="43">
        <v>788.7</v>
      </c>
      <c r="F5" s="43">
        <v>1039.5</v>
      </c>
    </row>
    <row r="6" spans="1:23" x14ac:dyDescent="0.2">
      <c r="B6" s="43" t="s">
        <v>91</v>
      </c>
      <c r="E6" s="43">
        <v>5.9</v>
      </c>
      <c r="F6" s="43">
        <v>7.8</v>
      </c>
    </row>
    <row r="7" spans="1:23" x14ac:dyDescent="0.2">
      <c r="B7" s="43" t="s">
        <v>92</v>
      </c>
      <c r="E7" s="43">
        <v>-122.8</v>
      </c>
      <c r="F7" s="43">
        <v>-157.6</v>
      </c>
    </row>
    <row r="8" spans="1:23" x14ac:dyDescent="0.2">
      <c r="B8" s="43" t="s">
        <v>93</v>
      </c>
      <c r="E8" s="43">
        <v>-169.3</v>
      </c>
      <c r="F8" s="43">
        <v>-262.89999999999998</v>
      </c>
    </row>
    <row r="9" spans="1:23" s="17" customFormat="1" x14ac:dyDescent="0.2">
      <c r="B9" s="17" t="s">
        <v>104</v>
      </c>
      <c r="E9" s="17">
        <f>+SUM(E5:E6)+SUM(E7:E8)</f>
        <v>502.5</v>
      </c>
      <c r="F9" s="17">
        <f>+SUM(F5:F6)+SUM(F7:F8)</f>
        <v>626.79999999999995</v>
      </c>
    </row>
    <row r="10" spans="1:23" x14ac:dyDescent="0.2">
      <c r="B10" s="43" t="s">
        <v>94</v>
      </c>
      <c r="E10" s="43">
        <v>-112</v>
      </c>
      <c r="F10" s="43">
        <v>-137.9</v>
      </c>
    </row>
    <row r="11" spans="1:23" s="17" customFormat="1" x14ac:dyDescent="0.2">
      <c r="B11" s="17" t="s">
        <v>107</v>
      </c>
      <c r="E11" s="17">
        <f>+E9+E10</f>
        <v>390.5</v>
      </c>
      <c r="F11" s="17">
        <f>+F9+F10</f>
        <v>488.9</v>
      </c>
    </row>
    <row r="12" spans="1:23" x14ac:dyDescent="0.2">
      <c r="B12" s="43" t="s">
        <v>95</v>
      </c>
      <c r="E12" s="43">
        <v>-151.1</v>
      </c>
      <c r="F12" s="43">
        <v>-180.3</v>
      </c>
    </row>
    <row r="13" spans="1:23" x14ac:dyDescent="0.2">
      <c r="B13" s="43" t="s">
        <v>96</v>
      </c>
      <c r="E13" s="43">
        <v>-8.6999999999999993</v>
      </c>
      <c r="F13" s="43">
        <v>-9.6999999999999993</v>
      </c>
    </row>
    <row r="14" spans="1:23" x14ac:dyDescent="0.2">
      <c r="B14" s="43" t="s">
        <v>97</v>
      </c>
      <c r="E14" s="43">
        <v>-171.6</v>
      </c>
      <c r="F14" s="43">
        <v>-201</v>
      </c>
    </row>
    <row r="15" spans="1:23" x14ac:dyDescent="0.2">
      <c r="B15" s="43" t="s">
        <v>98</v>
      </c>
      <c r="E15" s="43">
        <v>2.4</v>
      </c>
      <c r="F15" s="43">
        <v>0.5</v>
      </c>
    </row>
    <row r="16" spans="1:23" s="17" customFormat="1" x14ac:dyDescent="0.2">
      <c r="B16" s="17" t="s">
        <v>99</v>
      </c>
      <c r="E16" s="17">
        <f>+E11+SUM(E12:E15)</f>
        <v>61.5</v>
      </c>
      <c r="F16" s="17">
        <f>+F11+SUM(F12:F15)</f>
        <v>98.399999999999977</v>
      </c>
    </row>
    <row r="17" spans="2:7" x14ac:dyDescent="0.2">
      <c r="B17" s="43" t="s">
        <v>100</v>
      </c>
      <c r="E17" s="43">
        <v>-26.1</v>
      </c>
      <c r="F17" s="43">
        <v>-51.1</v>
      </c>
    </row>
    <row r="18" spans="2:7" x14ac:dyDescent="0.2">
      <c r="B18" s="43" t="s">
        <v>101</v>
      </c>
      <c r="E18" s="43">
        <v>-32.6</v>
      </c>
      <c r="F18" s="43">
        <v>-41.3</v>
      </c>
    </row>
    <row r="19" spans="2:7" x14ac:dyDescent="0.2">
      <c r="B19" s="43" t="s">
        <v>102</v>
      </c>
      <c r="E19" s="43">
        <v>-0.5</v>
      </c>
      <c r="F19" s="43">
        <v>-1</v>
      </c>
    </row>
    <row r="20" spans="2:7" s="17" customFormat="1" x14ac:dyDescent="0.2">
      <c r="B20" s="17" t="s">
        <v>103</v>
      </c>
      <c r="E20" s="17">
        <f>+E16+SUM(E17:E19)</f>
        <v>2.2999999999999972</v>
      </c>
      <c r="F20" s="17">
        <f>+F16+SUM(F17:F19)</f>
        <v>4.9999999999999716</v>
      </c>
    </row>
    <row r="22" spans="2:7" x14ac:dyDescent="0.2">
      <c r="B22" s="43" t="s">
        <v>105</v>
      </c>
      <c r="E22" s="43">
        <v>187.5</v>
      </c>
      <c r="F22" s="43">
        <v>223.1</v>
      </c>
    </row>
    <row r="24" spans="2:7" x14ac:dyDescent="0.2">
      <c r="B24" s="43" t="s">
        <v>7</v>
      </c>
      <c r="E24" s="43">
        <v>694</v>
      </c>
      <c r="F24" s="43">
        <v>804</v>
      </c>
    </row>
    <row r="25" spans="2:7" s="17" customFormat="1" x14ac:dyDescent="0.2">
      <c r="B25" s="43" t="s">
        <v>106</v>
      </c>
      <c r="C25" s="43"/>
      <c r="D25" s="43"/>
      <c r="E25" s="43">
        <v>2175</v>
      </c>
      <c r="F25" s="43">
        <v>2464</v>
      </c>
    </row>
    <row r="26" spans="2:7" x14ac:dyDescent="0.2">
      <c r="B26" s="43" t="s">
        <v>108</v>
      </c>
      <c r="E26" s="43">
        <f>+E11-E22</f>
        <v>203</v>
      </c>
      <c r="F26" s="43">
        <v>266</v>
      </c>
      <c r="G26" s="43">
        <v>305</v>
      </c>
    </row>
    <row r="27" spans="2:7" x14ac:dyDescent="0.2">
      <c r="B27" s="43" t="s">
        <v>109</v>
      </c>
      <c r="E27" s="44">
        <f>+E24/E26</f>
        <v>3.4187192118226601</v>
      </c>
      <c r="F27" s="44">
        <f>+F24/F26</f>
        <v>3.0225563909774436</v>
      </c>
    </row>
    <row r="28" spans="2:7" x14ac:dyDescent="0.2">
      <c r="E28" s="44">
        <f>+E25/E26</f>
        <v>10.714285714285714</v>
      </c>
      <c r="F28" s="44">
        <f>+F25/F26</f>
        <v>9.2631578947368425</v>
      </c>
    </row>
    <row r="31" spans="2:7" x14ac:dyDescent="0.2">
      <c r="G31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Clubs</vt:lpstr>
      <vt:lpstr>EBITA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2024-03-08T17:15:02Z</dcterms:created>
  <dcterms:modified xsi:type="dcterms:W3CDTF">2025-03-13T13:47:58Z</dcterms:modified>
</cp:coreProperties>
</file>