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Food Major\"/>
    </mc:Choice>
  </mc:AlternateContent>
  <xr:revisionPtr revIDLastSave="0" documentId="13_ncr:1_{83406FDC-333F-43B2-9B0A-E888F6220D7C}" xr6:coauthVersionLast="47" xr6:coauthVersionMax="47" xr10:uidLastSave="{00000000-0000-0000-0000-000000000000}"/>
  <bookViews>
    <workbookView xWindow="36165" yWindow="210" windowWidth="14220" windowHeight="15300" activeTab="1" xr2:uid="{AD1E3C40-22C2-4144-B0ED-DAC725659818}"/>
  </bookViews>
  <sheets>
    <sheet name="Main" sheetId="1" r:id="rId1"/>
    <sheet name="Model" sheetId="2" r:id="rId2"/>
    <sheet name="Bran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AD6" i="2" l="1"/>
  <c r="AD4" i="2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D3" i="2"/>
  <c r="AE3" i="2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V20" i="2"/>
  <c r="AD8" i="2"/>
  <c r="AC14" i="2"/>
  <c r="R14" i="2" s="1"/>
  <c r="AD21" i="2"/>
  <c r="AE11" i="2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D11" i="2"/>
  <c r="R11" i="2"/>
  <c r="E11" i="2" l="1"/>
  <c r="I11" i="2"/>
  <c r="M11" i="2"/>
  <c r="AC19" i="2"/>
  <c r="AE6" i="2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D5" i="2"/>
  <c r="AD16" i="2" s="1"/>
  <c r="X21" i="2"/>
  <c r="T5" i="2"/>
  <c r="T7" i="2" s="1"/>
  <c r="T9" i="2" s="1"/>
  <c r="T12" i="2" s="1"/>
  <c r="T13" i="2" s="1"/>
  <c r="T14" i="2"/>
  <c r="U14" i="2"/>
  <c r="U21" i="2"/>
  <c r="U5" i="2"/>
  <c r="U7" i="2" s="1"/>
  <c r="V14" i="2"/>
  <c r="V21" i="2"/>
  <c r="V5" i="2"/>
  <c r="V7" i="2" s="1"/>
  <c r="W14" i="2"/>
  <c r="W21" i="2"/>
  <c r="W5" i="2"/>
  <c r="W7" i="2" s="1"/>
  <c r="Y21" i="2"/>
  <c r="AE21" i="2" l="1"/>
  <c r="AE5" i="2"/>
  <c r="AE16" i="2" s="1"/>
  <c r="AD7" i="2"/>
  <c r="AE7" i="2"/>
  <c r="T17" i="2"/>
  <c r="T16" i="2"/>
  <c r="T18" i="2"/>
  <c r="T19" i="2"/>
  <c r="U17" i="2"/>
  <c r="U9" i="2"/>
  <c r="U16" i="2"/>
  <c r="V17" i="2"/>
  <c r="V9" i="2"/>
  <c r="V16" i="2"/>
  <c r="W16" i="2"/>
  <c r="W9" i="2"/>
  <c r="W17" i="2"/>
  <c r="X14" i="2"/>
  <c r="X5" i="2"/>
  <c r="X7" i="2" s="1"/>
  <c r="AF21" i="2" l="1"/>
  <c r="AE17" i="2"/>
  <c r="AD17" i="2"/>
  <c r="AD9" i="2"/>
  <c r="AD10" i="2" s="1"/>
  <c r="AF5" i="2"/>
  <c r="U19" i="2"/>
  <c r="U12" i="2"/>
  <c r="V19" i="2"/>
  <c r="V12" i="2"/>
  <c r="W19" i="2"/>
  <c r="W12" i="2"/>
  <c r="X9" i="2"/>
  <c r="X17" i="2"/>
  <c r="X16" i="2"/>
  <c r="AG21" i="2" l="1"/>
  <c r="AF16" i="2"/>
  <c r="AF7" i="2"/>
  <c r="AD19" i="2"/>
  <c r="AG5" i="2"/>
  <c r="U13" i="2"/>
  <c r="U18" i="2"/>
  <c r="V18" i="2"/>
  <c r="V13" i="2"/>
  <c r="W13" i="2"/>
  <c r="W18" i="2"/>
  <c r="X19" i="2"/>
  <c r="X12" i="2"/>
  <c r="AH21" i="2" l="1"/>
  <c r="AG16" i="2"/>
  <c r="AG7" i="2"/>
  <c r="AD12" i="2"/>
  <c r="AF17" i="2"/>
  <c r="AH5" i="2"/>
  <c r="X18" i="2"/>
  <c r="X13" i="2"/>
  <c r="AD24" i="2" l="1"/>
  <c r="AI21" i="2"/>
  <c r="AH16" i="2"/>
  <c r="AH7" i="2"/>
  <c r="AD13" i="2"/>
  <c r="AD18" i="2"/>
  <c r="AG17" i="2"/>
  <c r="AI5" i="2"/>
  <c r="AJ21" i="2" l="1"/>
  <c r="AE8" i="2"/>
  <c r="AE9" i="2" s="1"/>
  <c r="AE10" i="2" s="1"/>
  <c r="AH17" i="2"/>
  <c r="AI16" i="2"/>
  <c r="AI7" i="2"/>
  <c r="AJ5" i="2"/>
  <c r="AE19" i="2" l="1"/>
  <c r="AK21" i="2"/>
  <c r="AJ16" i="2"/>
  <c r="AJ7" i="2"/>
  <c r="AI17" i="2"/>
  <c r="AK5" i="2"/>
  <c r="AE12" i="2" l="1"/>
  <c r="AE13" i="2" s="1"/>
  <c r="AL21" i="2"/>
  <c r="AK16" i="2"/>
  <c r="AK7" i="2"/>
  <c r="AJ17" i="2"/>
  <c r="AL5" i="2"/>
  <c r="AE24" i="2" l="1"/>
  <c r="AF8" i="2" s="1"/>
  <c r="AF9" i="2" s="1"/>
  <c r="AF10" i="2" s="1"/>
  <c r="AF19" i="2" s="1"/>
  <c r="AE18" i="2"/>
  <c r="AM21" i="2"/>
  <c r="AL16" i="2"/>
  <c r="AL7" i="2"/>
  <c r="AK17" i="2"/>
  <c r="AM5" i="2"/>
  <c r="AF12" i="2" l="1"/>
  <c r="AF24" i="2" s="1"/>
  <c r="AG8" i="2" s="1"/>
  <c r="AG9" i="2" s="1"/>
  <c r="AG10" i="2" s="1"/>
  <c r="AN21" i="2"/>
  <c r="AM16" i="2"/>
  <c r="AM7" i="2"/>
  <c r="AL17" i="2"/>
  <c r="AN5" i="2"/>
  <c r="AF18" i="2" l="1"/>
  <c r="AF13" i="2"/>
  <c r="AG19" i="2"/>
  <c r="AO21" i="2"/>
  <c r="AN16" i="2"/>
  <c r="AN7" i="2"/>
  <c r="AM17" i="2"/>
  <c r="AO5" i="2"/>
  <c r="AG12" i="2" l="1"/>
  <c r="AG24" i="2" s="1"/>
  <c r="AH8" i="2" s="1"/>
  <c r="AH9" i="2" s="1"/>
  <c r="AH10" i="2" s="1"/>
  <c r="AP21" i="2"/>
  <c r="AN17" i="2"/>
  <c r="AO16" i="2"/>
  <c r="AO7" i="2"/>
  <c r="AP5" i="2"/>
  <c r="AG18" i="2" l="1"/>
  <c r="AG13" i="2"/>
  <c r="AH19" i="2"/>
  <c r="AH12" i="2"/>
  <c r="AQ21" i="2"/>
  <c r="AP16" i="2"/>
  <c r="AP7" i="2"/>
  <c r="AO17" i="2"/>
  <c r="AQ5" i="2"/>
  <c r="AS21" i="2" l="1"/>
  <c r="AR21" i="2"/>
  <c r="AH24" i="2"/>
  <c r="AI8" i="2" s="1"/>
  <c r="AI9" i="2" s="1"/>
  <c r="AI10" i="2" s="1"/>
  <c r="AH13" i="2"/>
  <c r="AH18" i="2"/>
  <c r="AQ16" i="2"/>
  <c r="AQ7" i="2"/>
  <c r="AP17" i="2"/>
  <c r="AR5" i="2"/>
  <c r="AS5" i="2"/>
  <c r="AI19" i="2" l="1"/>
  <c r="AS16" i="2"/>
  <c r="AS7" i="2"/>
  <c r="AQ17" i="2"/>
  <c r="AR16" i="2"/>
  <c r="AR7" i="2"/>
  <c r="AI12" i="2" l="1"/>
  <c r="AI24" i="2" s="1"/>
  <c r="AJ8" i="2" s="1"/>
  <c r="AJ9" i="2" s="1"/>
  <c r="AJ10" i="2" s="1"/>
  <c r="AR17" i="2"/>
  <c r="AS17" i="2"/>
  <c r="AI13" i="2" l="1"/>
  <c r="AI18" i="2"/>
  <c r="AJ19" i="2"/>
  <c r="AJ12" i="2"/>
  <c r="AJ24" i="2" l="1"/>
  <c r="AK8" i="2" s="1"/>
  <c r="AK9" i="2" s="1"/>
  <c r="AK10" i="2" s="1"/>
  <c r="AJ18" i="2"/>
  <c r="AJ13" i="2"/>
  <c r="AK19" i="2" l="1"/>
  <c r="AK12" i="2"/>
  <c r="AK24" i="2" l="1"/>
  <c r="AL8" i="2" s="1"/>
  <c r="AL9" i="2" s="1"/>
  <c r="AL10" i="2" s="1"/>
  <c r="AK18" i="2"/>
  <c r="AK13" i="2"/>
  <c r="AL19" i="2" l="1"/>
  <c r="AL12" i="2"/>
  <c r="AL24" i="2" l="1"/>
  <c r="AM8" i="2" s="1"/>
  <c r="AM9" i="2" s="1"/>
  <c r="AM10" i="2" s="1"/>
  <c r="AL18" i="2"/>
  <c r="AL13" i="2"/>
  <c r="AM19" i="2" l="1"/>
  <c r="AM12" i="2" l="1"/>
  <c r="AM24" i="2" s="1"/>
  <c r="AN8" i="2" s="1"/>
  <c r="AN9" i="2" s="1"/>
  <c r="AN10" i="2" s="1"/>
  <c r="AM18" i="2" l="1"/>
  <c r="AM13" i="2"/>
  <c r="AN19" i="2"/>
  <c r="AN12" i="2" l="1"/>
  <c r="AN24" i="2" s="1"/>
  <c r="AO8" i="2" s="1"/>
  <c r="AO9" i="2" s="1"/>
  <c r="AO10" i="2" s="1"/>
  <c r="AN18" i="2" l="1"/>
  <c r="AN13" i="2"/>
  <c r="AO19" i="2"/>
  <c r="AO12" i="2" l="1"/>
  <c r="AO24" i="2" l="1"/>
  <c r="AO13" i="2"/>
  <c r="AO18" i="2"/>
  <c r="AP8" i="2" l="1"/>
  <c r="AP9" i="2" s="1"/>
  <c r="AP10" i="2" s="1"/>
  <c r="AP19" i="2" l="1"/>
  <c r="AP12" i="2" l="1"/>
  <c r="AP18" i="2" s="1"/>
  <c r="AP24" i="2" l="1"/>
  <c r="AQ8" i="2" s="1"/>
  <c r="AQ9" i="2" s="1"/>
  <c r="AQ10" i="2" s="1"/>
  <c r="AP13" i="2"/>
  <c r="AQ19" i="2" l="1"/>
  <c r="AQ12" i="2"/>
  <c r="AQ18" i="2" l="1"/>
  <c r="AQ13" i="2"/>
  <c r="AQ24" i="2"/>
  <c r="AR8" i="2" l="1"/>
  <c r="AR9" i="2" s="1"/>
  <c r="AR10" i="2" s="1"/>
  <c r="AR19" i="2" l="1"/>
  <c r="AR12" i="2" l="1"/>
  <c r="AR13" i="2" l="1"/>
  <c r="AR18" i="2"/>
  <c r="AR24" i="2"/>
  <c r="AS8" i="2" l="1"/>
  <c r="AS9" i="2" s="1"/>
  <c r="AS10" i="2" s="1"/>
  <c r="AS19" i="2" l="1"/>
  <c r="AS12" i="2" l="1"/>
  <c r="AT12" i="2" l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X12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DO12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EF12" i="2" s="1"/>
  <c r="EG12" i="2" s="1"/>
  <c r="EH12" i="2" s="1"/>
  <c r="EI12" i="2" s="1"/>
  <c r="EJ12" i="2" s="1"/>
  <c r="EK12" i="2" s="1"/>
  <c r="EL12" i="2" s="1"/>
  <c r="EM12" i="2" s="1"/>
  <c r="EN12" i="2" s="1"/>
  <c r="EO12" i="2" s="1"/>
  <c r="EP12" i="2" s="1"/>
  <c r="AV19" i="2" s="1"/>
  <c r="AV21" i="2" s="1"/>
  <c r="AV22" i="2" s="1"/>
  <c r="AV24" i="2" s="1"/>
  <c r="AS18" i="2"/>
  <c r="AS13" i="2"/>
  <c r="AS24" i="2"/>
  <c r="J87" i="2" l="1"/>
  <c r="N12" i="2"/>
  <c r="L87" i="2"/>
  <c r="K87" i="2"/>
  <c r="AC87" i="2"/>
  <c r="AB87" i="2"/>
  <c r="AA87" i="2"/>
  <c r="Z87" i="2"/>
  <c r="Y87" i="2"/>
  <c r="AC86" i="2"/>
  <c r="AB86" i="2"/>
  <c r="AB75" i="2"/>
  <c r="AC75" i="2"/>
  <c r="I38" i="2"/>
  <c r="I34" i="2"/>
  <c r="I40" i="2" s="1"/>
  <c r="I42" i="2" s="1"/>
  <c r="I33" i="2"/>
  <c r="I31" i="2"/>
  <c r="I29" i="2"/>
  <c r="I24" i="2"/>
  <c r="AB38" i="2"/>
  <c r="AB34" i="2"/>
  <c r="AB31" i="2"/>
  <c r="AB29" i="2"/>
  <c r="AB40" i="2"/>
  <c r="AB42" i="2" s="1"/>
  <c r="AB33" i="2"/>
  <c r="AB24" i="2"/>
  <c r="AC38" i="2"/>
  <c r="AC34" i="2"/>
  <c r="AC40" i="2" s="1"/>
  <c r="AC42" i="2" s="1"/>
  <c r="AC31" i="2"/>
  <c r="AC29" i="2"/>
  <c r="AC33" i="2" s="1"/>
  <c r="AC24" i="2"/>
  <c r="Y86" i="2"/>
  <c r="Y75" i="2"/>
  <c r="Z86" i="2"/>
  <c r="AA86" i="2"/>
  <c r="Z75" i="2"/>
  <c r="AA75" i="2"/>
  <c r="Y14" i="2"/>
  <c r="Y5" i="2"/>
  <c r="Y16" i="2" s="1"/>
  <c r="Z14" i="2"/>
  <c r="Z21" i="2"/>
  <c r="AA21" i="2"/>
  <c r="AB21" i="2"/>
  <c r="AA14" i="2"/>
  <c r="AA10" i="2"/>
  <c r="AA8" i="2"/>
  <c r="AA6" i="2"/>
  <c r="AA4" i="2"/>
  <c r="AA5" i="2" s="1"/>
  <c r="AA3" i="2"/>
  <c r="AC21" i="2"/>
  <c r="AB14" i="2"/>
  <c r="AB10" i="2"/>
  <c r="AB8" i="2"/>
  <c r="AB6" i="2"/>
  <c r="AB7" i="2"/>
  <c r="AB17" i="2" s="1"/>
  <c r="AB5" i="2"/>
  <c r="AB16" i="2" s="1"/>
  <c r="AB4" i="2"/>
  <c r="AB3" i="2"/>
  <c r="AC10" i="2"/>
  <c r="AC8" i="2"/>
  <c r="AC6" i="2"/>
  <c r="AC5" i="2"/>
  <c r="AC16" i="2" s="1"/>
  <c r="AC4" i="2"/>
  <c r="AC3" i="2"/>
  <c r="D5" i="2"/>
  <c r="D16" i="2" s="1"/>
  <c r="E5" i="2"/>
  <c r="E16" i="2" s="1"/>
  <c r="O12" i="2"/>
  <c r="L88" i="2" s="1"/>
  <c r="M12" i="2"/>
  <c r="L12" i="2"/>
  <c r="K12" i="2"/>
  <c r="J12" i="2"/>
  <c r="I12" i="2"/>
  <c r="H12" i="2"/>
  <c r="G12" i="2"/>
  <c r="F12" i="2"/>
  <c r="B12" i="2"/>
  <c r="B5" i="2"/>
  <c r="B16" i="2" s="1"/>
  <c r="F17" i="2"/>
  <c r="F14" i="2"/>
  <c r="C12" i="2"/>
  <c r="C10" i="2"/>
  <c r="G10" i="2"/>
  <c r="F21" i="2"/>
  <c r="F5" i="2"/>
  <c r="F16" i="2" s="1"/>
  <c r="C5" i="2"/>
  <c r="C7" i="2" s="1"/>
  <c r="G14" i="2"/>
  <c r="G21" i="2"/>
  <c r="G5" i="2"/>
  <c r="G16" i="2" s="1"/>
  <c r="L10" i="1"/>
  <c r="M71" i="2"/>
  <c r="M38" i="2"/>
  <c r="M34" i="2"/>
  <c r="M31" i="2"/>
  <c r="M29" i="2"/>
  <c r="I21" i="2"/>
  <c r="I5" i="2"/>
  <c r="I7" i="2" s="1"/>
  <c r="I9" i="2" s="1"/>
  <c r="I14" i="2"/>
  <c r="M14" i="2"/>
  <c r="M21" i="2"/>
  <c r="M5" i="2"/>
  <c r="M7" i="2" s="1"/>
  <c r="L63" i="2"/>
  <c r="M63" i="2" s="1"/>
  <c r="L38" i="2"/>
  <c r="L34" i="2"/>
  <c r="L24" i="2" s="1"/>
  <c r="L29" i="2"/>
  <c r="L31" i="2"/>
  <c r="H21" i="2"/>
  <c r="H14" i="2"/>
  <c r="H5" i="2"/>
  <c r="H7" i="2" s="1"/>
  <c r="L14" i="2"/>
  <c r="L21" i="2"/>
  <c r="L5" i="2"/>
  <c r="L7" i="2" s="1"/>
  <c r="K83" i="2"/>
  <c r="L83" i="2" s="1"/>
  <c r="K80" i="2"/>
  <c r="L80" i="2" s="1"/>
  <c r="K79" i="2"/>
  <c r="L79" i="2" s="1"/>
  <c r="K78" i="2"/>
  <c r="L78" i="2" s="1"/>
  <c r="K76" i="2"/>
  <c r="L76" i="2" s="1"/>
  <c r="K72" i="2"/>
  <c r="L72" i="2" s="1"/>
  <c r="M72" i="2" s="1"/>
  <c r="K67" i="2"/>
  <c r="L67" i="2" s="1"/>
  <c r="K62" i="2"/>
  <c r="L62" i="2" s="1"/>
  <c r="K61" i="2"/>
  <c r="L61" i="2" s="1"/>
  <c r="K60" i="2"/>
  <c r="L60" i="2" s="1"/>
  <c r="K59" i="2"/>
  <c r="L59" i="2" s="1"/>
  <c r="M59" i="2" s="1"/>
  <c r="K58" i="2"/>
  <c r="K57" i="2"/>
  <c r="L57" i="2" s="1"/>
  <c r="K56" i="2"/>
  <c r="L56" i="2" s="1"/>
  <c r="K55" i="2"/>
  <c r="L55" i="2" s="1"/>
  <c r="K54" i="2"/>
  <c r="L54" i="2" s="1"/>
  <c r="K53" i="2"/>
  <c r="L53" i="2" s="1"/>
  <c r="K52" i="2"/>
  <c r="L52" i="2" s="1"/>
  <c r="K51" i="2"/>
  <c r="L51" i="2" s="1"/>
  <c r="K50" i="2"/>
  <c r="L50" i="2" s="1"/>
  <c r="K49" i="2"/>
  <c r="K48" i="2"/>
  <c r="L48" i="2" s="1"/>
  <c r="O83" i="2"/>
  <c r="O80" i="2"/>
  <c r="O79" i="2"/>
  <c r="O78" i="2"/>
  <c r="O77" i="2"/>
  <c r="O72" i="2"/>
  <c r="O70" i="2"/>
  <c r="O69" i="2"/>
  <c r="O67" i="2"/>
  <c r="O66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N75" i="2"/>
  <c r="O75" i="2" s="1"/>
  <c r="N73" i="2"/>
  <c r="N64" i="2"/>
  <c r="N86" i="2" s="1"/>
  <c r="J64" i="2"/>
  <c r="N34" i="2"/>
  <c r="N40" i="2" s="1"/>
  <c r="N42" i="2" s="1"/>
  <c r="N31" i="2"/>
  <c r="N33" i="2" s="1"/>
  <c r="J75" i="2"/>
  <c r="J81" i="2" s="1"/>
  <c r="J68" i="2"/>
  <c r="J66" i="2"/>
  <c r="J34" i="2"/>
  <c r="J40" i="2" s="1"/>
  <c r="J42" i="2" s="1"/>
  <c r="J31" i="2"/>
  <c r="J33" i="2" s="1"/>
  <c r="J14" i="2"/>
  <c r="J21" i="2"/>
  <c r="J5" i="2"/>
  <c r="J7" i="2" s="1"/>
  <c r="N14" i="2"/>
  <c r="N21" i="2"/>
  <c r="N5" i="2"/>
  <c r="N16" i="2" s="1"/>
  <c r="K38" i="2"/>
  <c r="K34" i="2"/>
  <c r="K24" i="2" s="1"/>
  <c r="K29" i="2"/>
  <c r="K31" i="2"/>
  <c r="O34" i="2"/>
  <c r="O24" i="2" s="1"/>
  <c r="O31" i="2"/>
  <c r="O33" i="2" s="1"/>
  <c r="K14" i="2"/>
  <c r="O21" i="2"/>
  <c r="K21" i="2"/>
  <c r="K5" i="2"/>
  <c r="K16" i="2" s="1"/>
  <c r="O14" i="2"/>
  <c r="O5" i="2"/>
  <c r="O16" i="2" s="1"/>
  <c r="D11" i="1"/>
  <c r="E10" i="1" s="1"/>
  <c r="L7" i="1"/>
  <c r="L5" i="1"/>
  <c r="L8" i="1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K88" i="2" l="1"/>
  <c r="J88" i="2"/>
  <c r="Y7" i="2"/>
  <c r="Y9" i="2" s="1"/>
  <c r="Y12" i="2" s="1"/>
  <c r="Z5" i="2"/>
  <c r="AA16" i="2"/>
  <c r="AA7" i="2"/>
  <c r="AB9" i="2"/>
  <c r="AB12" i="2" s="1"/>
  <c r="AB18" i="2" s="1"/>
  <c r="AB19" i="2"/>
  <c r="AC7" i="2"/>
  <c r="D7" i="2"/>
  <c r="E7" i="2"/>
  <c r="B7" i="2"/>
  <c r="F7" i="2"/>
  <c r="C17" i="2"/>
  <c r="C9" i="2"/>
  <c r="C16" i="2"/>
  <c r="G7" i="2"/>
  <c r="M40" i="2"/>
  <c r="M42" i="2" s="1"/>
  <c r="M79" i="2"/>
  <c r="L58" i="2"/>
  <c r="M58" i="2" s="1"/>
  <c r="M53" i="2"/>
  <c r="M57" i="2"/>
  <c r="J73" i="2"/>
  <c r="J84" i="2" s="1"/>
  <c r="M83" i="2"/>
  <c r="O73" i="2"/>
  <c r="M48" i="2"/>
  <c r="M60" i="2"/>
  <c r="M76" i="2"/>
  <c r="K64" i="2"/>
  <c r="M61" i="2"/>
  <c r="M78" i="2"/>
  <c r="K68" i="2"/>
  <c r="L68" i="2" s="1"/>
  <c r="M50" i="2"/>
  <c r="M62" i="2"/>
  <c r="M51" i="2"/>
  <c r="M80" i="2"/>
  <c r="M52" i="2"/>
  <c r="M24" i="2"/>
  <c r="M54" i="2"/>
  <c r="M67" i="2"/>
  <c r="M55" i="2"/>
  <c r="M56" i="2"/>
  <c r="M33" i="2"/>
  <c r="K75" i="2"/>
  <c r="K81" i="2" s="1"/>
  <c r="L75" i="2"/>
  <c r="L81" i="2" s="1"/>
  <c r="L33" i="2"/>
  <c r="I13" i="2"/>
  <c r="I16" i="2"/>
  <c r="O64" i="2"/>
  <c r="O81" i="2"/>
  <c r="I17" i="2"/>
  <c r="I18" i="2"/>
  <c r="I19" i="2"/>
  <c r="M16" i="2"/>
  <c r="M9" i="2"/>
  <c r="M17" i="2"/>
  <c r="N81" i="2"/>
  <c r="N84" i="2" s="1"/>
  <c r="L40" i="2"/>
  <c r="L42" i="2" s="1"/>
  <c r="N24" i="2"/>
  <c r="L49" i="2"/>
  <c r="M49" i="2" s="1"/>
  <c r="K66" i="2"/>
  <c r="H16" i="2"/>
  <c r="H9" i="2"/>
  <c r="H17" i="2"/>
  <c r="L16" i="2"/>
  <c r="L9" i="2"/>
  <c r="L17" i="2"/>
  <c r="J86" i="2"/>
  <c r="J24" i="2"/>
  <c r="J16" i="2"/>
  <c r="J17" i="2"/>
  <c r="J9" i="2"/>
  <c r="N7" i="2"/>
  <c r="O40" i="2"/>
  <c r="O42" i="2" s="1"/>
  <c r="K33" i="2"/>
  <c r="O7" i="2"/>
  <c r="O9" i="2" s="1"/>
  <c r="K40" i="2"/>
  <c r="K42" i="2" s="1"/>
  <c r="K7" i="2"/>
  <c r="K17" i="2" s="1"/>
  <c r="E7" i="1"/>
  <c r="E8" i="1"/>
  <c r="E9" i="1"/>
  <c r="Y19" i="2" l="1"/>
  <c r="Y17" i="2"/>
  <c r="Y18" i="2"/>
  <c r="Y13" i="2"/>
  <c r="Z7" i="2"/>
  <c r="Z16" i="2"/>
  <c r="AA17" i="2"/>
  <c r="AA9" i="2"/>
  <c r="AB13" i="2"/>
  <c r="AC17" i="2"/>
  <c r="AC9" i="2"/>
  <c r="D17" i="2"/>
  <c r="D9" i="2"/>
  <c r="E17" i="2"/>
  <c r="E9" i="2"/>
  <c r="B17" i="2"/>
  <c r="B9" i="2"/>
  <c r="M68" i="2"/>
  <c r="F9" i="2"/>
  <c r="C19" i="2"/>
  <c r="G17" i="2"/>
  <c r="G9" i="2"/>
  <c r="O84" i="2"/>
  <c r="L64" i="2"/>
  <c r="M64" i="2"/>
  <c r="K73" i="2"/>
  <c r="K84" i="2" s="1"/>
  <c r="M75" i="2"/>
  <c r="M81" i="2" s="1"/>
  <c r="O86" i="2"/>
  <c r="K86" i="2"/>
  <c r="L66" i="2"/>
  <c r="M47" i="2"/>
  <c r="M19" i="2"/>
  <c r="H19" i="2"/>
  <c r="L19" i="2"/>
  <c r="O17" i="2"/>
  <c r="J19" i="2"/>
  <c r="N17" i="2"/>
  <c r="N9" i="2"/>
  <c r="O47" i="2"/>
  <c r="O19" i="2"/>
  <c r="K9" i="2"/>
  <c r="K19" i="2" s="1"/>
  <c r="Z17" i="2" l="1"/>
  <c r="Z9" i="2"/>
  <c r="AA12" i="2"/>
  <c r="AA19" i="2"/>
  <c r="AC12" i="2"/>
  <c r="D19" i="2"/>
  <c r="D12" i="2"/>
  <c r="E19" i="2"/>
  <c r="E12" i="2"/>
  <c r="B19" i="2"/>
  <c r="L47" i="2"/>
  <c r="J47" i="2"/>
  <c r="L44" i="2"/>
  <c r="L45" i="2" s="1"/>
  <c r="F19" i="2"/>
  <c r="C18" i="2"/>
  <c r="C13" i="2"/>
  <c r="G19" i="2"/>
  <c r="L73" i="2"/>
  <c r="L84" i="2" s="1"/>
  <c r="M66" i="2"/>
  <c r="M73" i="2" s="1"/>
  <c r="M84" i="2" s="1"/>
  <c r="L86" i="2"/>
  <c r="M18" i="2"/>
  <c r="M13" i="2"/>
  <c r="H18" i="2"/>
  <c r="H13" i="2"/>
  <c r="L18" i="2"/>
  <c r="L13" i="2"/>
  <c r="J18" i="2"/>
  <c r="J13" i="2"/>
  <c r="N19" i="2"/>
  <c r="N47" i="2"/>
  <c r="O13" i="2"/>
  <c r="O18" i="2"/>
  <c r="N44" i="2"/>
  <c r="N45" i="2" s="1"/>
  <c r="Z12" i="2" l="1"/>
  <c r="Z19" i="2"/>
  <c r="AA18" i="2"/>
  <c r="AA13" i="2"/>
  <c r="AC18" i="2"/>
  <c r="AC13" i="2"/>
  <c r="D18" i="2"/>
  <c r="D13" i="2"/>
  <c r="E18" i="2"/>
  <c r="E13" i="2"/>
  <c r="B18" i="2"/>
  <c r="B13" i="2"/>
  <c r="M44" i="2"/>
  <c r="M45" i="2" s="1"/>
  <c r="O44" i="2"/>
  <c r="O45" i="2" s="1"/>
  <c r="K44" i="2"/>
  <c r="K45" i="2" s="1"/>
  <c r="F18" i="2"/>
  <c r="F13" i="2"/>
  <c r="G18" i="2"/>
  <c r="G13" i="2"/>
  <c r="M86" i="2"/>
  <c r="K18" i="2"/>
  <c r="K47" i="2"/>
  <c r="K13" i="2"/>
  <c r="N18" i="2"/>
  <c r="N13" i="2"/>
  <c r="Z18" i="2" l="1"/>
  <c r="Z13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<sst xmlns="http://schemas.openxmlformats.org/spreadsheetml/2006/main" count="161" uniqueCount="142">
  <si>
    <t>Revenue</t>
  </si>
  <si>
    <t>COGS</t>
  </si>
  <si>
    <t>Gross profit</t>
  </si>
  <si>
    <t>SG&amp;A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</si>
  <si>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</si>
  <si>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</si>
  <si>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</si>
  <si>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</si>
  <si>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</si>
  <si>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</si>
  <si>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</si>
  <si>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</si>
  <si>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</si>
  <si>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</si>
  <si>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</si>
  <si>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</si>
  <si>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Q222</t>
  </si>
  <si>
    <t>Q322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</si>
  <si>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</si>
  <si>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</si>
  <si>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</si>
  <si>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</si>
  <si>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</si>
  <si>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</si>
  <si>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</si>
  <si>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</si>
  <si>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</si>
  <si>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</si>
  <si>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</si>
  <si>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</si>
  <si>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</si>
  <si>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</si>
  <si>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</si>
  <si>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Grocery &amp; Snacks</t>
  </si>
  <si>
    <t>Rifrigerated &amp; Frozen</t>
  </si>
  <si>
    <t>International</t>
  </si>
  <si>
    <t>Foodservice</t>
  </si>
  <si>
    <t>Cash Flow: Partially offset by timing of payments of accounts payable and the accelerated receipt of the company’s outstanding receivables</t>
  </si>
  <si>
    <t>Debt: Net leverage ratio 3,54x</t>
  </si>
  <si>
    <t>Outlook: Fiscal 2025</t>
  </si>
  <si>
    <t>• Organic net sales near midpoint of -1.5% to flat compared to 2024</t>
  </si>
  <si>
    <t>• Inflation closer to 4%</t>
  </si>
  <si>
    <t>• Tax rate 23%</t>
  </si>
  <si>
    <t>• Net leverage ratio 3,4x</t>
  </si>
  <si>
    <t>• Adjusted operating margin 14,8%</t>
  </si>
  <si>
    <t>• CapEx expect to be $450M for the year</t>
  </si>
  <si>
    <r>
      <t xml:space="preserve">Conagra Brands </t>
    </r>
    <r>
      <rPr>
        <sz val="10"/>
        <color theme="1"/>
        <rFont val="arial"/>
        <family val="2"/>
      </rPr>
      <t>is one of North America's leading branded food companies.</t>
    </r>
  </si>
  <si>
    <t>Birds Eye, Duncan Hines, Healthy Choice, Marie Callender's, Reddi-wip,</t>
  </si>
  <si>
    <t>Slim Jim, Angie's, BOOMCHICKAPOP, and many more.</t>
  </si>
  <si>
    <t>Founded</t>
  </si>
  <si>
    <t>Founders</t>
  </si>
  <si>
    <t>Headquaters</t>
  </si>
  <si>
    <t>Q2 FY25</t>
  </si>
  <si>
    <t>Net sales</t>
  </si>
  <si>
    <t>margin</t>
  </si>
  <si>
    <t>Total</t>
  </si>
  <si>
    <t>Chicago, Illinois, U.S.</t>
  </si>
  <si>
    <t>Alva Kinney</t>
  </si>
  <si>
    <t>CEO</t>
  </si>
  <si>
    <t>Sean Connolly</t>
  </si>
  <si>
    <t>Formely</t>
  </si>
  <si>
    <t>Nebraska Consolidated Mills (1919-1971)</t>
  </si>
  <si>
    <t>ConAgra Foods (1971-2016)</t>
  </si>
  <si>
    <t>Net cash</t>
  </si>
  <si>
    <t>A/R</t>
  </si>
  <si>
    <t>Inventories</t>
  </si>
  <si>
    <t>Prepaid</t>
  </si>
  <si>
    <t>Held for sale</t>
  </si>
  <si>
    <t>PP&amp;E</t>
  </si>
  <si>
    <t>Goodwill</t>
  </si>
  <si>
    <t>Other</t>
  </si>
  <si>
    <t>Assets</t>
  </si>
  <si>
    <t>A/P</t>
  </si>
  <si>
    <t>Accrued payroll</t>
  </si>
  <si>
    <t>Other accrued liabilties</t>
  </si>
  <si>
    <t>ONCL</t>
  </si>
  <si>
    <t>Liabilties</t>
  </si>
  <si>
    <t>S/E</t>
  </si>
  <si>
    <t>L+S/E</t>
  </si>
  <si>
    <t>Model NI</t>
  </si>
  <si>
    <t>Reported NI</t>
  </si>
  <si>
    <t>D&amp;A</t>
  </si>
  <si>
    <t>Asset impairment</t>
  </si>
  <si>
    <t>Undistributed earnings</t>
  </si>
  <si>
    <t>SBC</t>
  </si>
  <si>
    <t>Pension plans</t>
  </si>
  <si>
    <t>Pension expense</t>
  </si>
  <si>
    <t>D/T</t>
  </si>
  <si>
    <t>CFFO</t>
  </si>
  <si>
    <t>CapEx</t>
  </si>
  <si>
    <t>Sale</t>
  </si>
  <si>
    <t>Securities</t>
  </si>
  <si>
    <t>CFFI</t>
  </si>
  <si>
    <t>Debt issuance cost</t>
  </si>
  <si>
    <t>Buybacks</t>
  </si>
  <si>
    <t>Dividends</t>
  </si>
  <si>
    <t>ESOP</t>
  </si>
  <si>
    <t>CFFF</t>
  </si>
  <si>
    <t>FX</t>
  </si>
  <si>
    <t>CIC</t>
  </si>
  <si>
    <t>FCF</t>
  </si>
  <si>
    <t>TTM FCF</t>
  </si>
  <si>
    <t>Litigation accruals</t>
  </si>
  <si>
    <t>Aquisition</t>
  </si>
  <si>
    <t>Investings</t>
  </si>
  <si>
    <t>Insurance</t>
  </si>
  <si>
    <t>TTM NI</t>
  </si>
  <si>
    <t>Tangible return</t>
  </si>
  <si>
    <t>Interest yield</t>
  </si>
  <si>
    <t>Q125</t>
  </si>
  <si>
    <t>Q225</t>
  </si>
  <si>
    <t>Q325</t>
  </si>
  <si>
    <t>Q425</t>
  </si>
  <si>
    <t>FY Q225</t>
  </si>
  <si>
    <t>Investee</t>
  </si>
  <si>
    <t>Slim Jim</t>
  </si>
  <si>
    <t>Healthy Choice</t>
  </si>
  <si>
    <t>Duncan Hines</t>
  </si>
  <si>
    <t>Gardein</t>
  </si>
  <si>
    <t>David</t>
  </si>
  <si>
    <t>Hunts</t>
  </si>
  <si>
    <t>Marie Callender's</t>
  </si>
  <si>
    <t>Reddi Wip</t>
  </si>
  <si>
    <t>Vlasic</t>
  </si>
  <si>
    <t>Birds Eye</t>
  </si>
  <si>
    <t>BOOM CHICKA POP</t>
  </si>
  <si>
    <t>DUKES</t>
  </si>
  <si>
    <t>Orville Redenbacher's</t>
  </si>
  <si>
    <t>Swiss Miss</t>
  </si>
  <si>
    <t>Snack Pack</t>
  </si>
  <si>
    <t>Banquet</t>
  </si>
  <si>
    <t>PAM</t>
  </si>
  <si>
    <t>Frontera</t>
  </si>
  <si>
    <t>Udis</t>
  </si>
  <si>
    <t>Hebrew National</t>
  </si>
  <si>
    <t>ROIC</t>
  </si>
  <si>
    <t>Discount</t>
  </si>
  <si>
    <t>Terminal</t>
  </si>
  <si>
    <t>NPV</t>
  </si>
  <si>
    <t>Value</t>
  </si>
  <si>
    <t>Current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</si>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</sst>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x"/>
    <numFmt numFmtId="165" formatCode="[$-413]d/mmm/yy;@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9" fontId="0" fillId="0" borderId="5" xfId="0" applyNumberFormat="1" applyBorder="1"/>
    <xf numFmtId="0" fontId="0" fillId="0" borderId="6" xfId="0" applyBorder="1"/>
    <xf numFmtId="0" fontId="0" fillId="0" borderId="7" xfId="0" applyBorder="1"/>
    <xf numFmtId="3" fontId="0" fillId="0" borderId="7" xfId="0" applyNumberFormat="1" applyBorder="1"/>
    <xf numFmtId="0" fontId="0" fillId="0" borderId="8" xfId="0" applyBorder="1"/>
    <xf numFmtId="3" fontId="0" fillId="0" borderId="2" xfId="0" applyNumberFormat="1" applyBorder="1"/>
    <xf numFmtId="9" fontId="0" fillId="0" borderId="3" xfId="0" applyNumberFormat="1" applyBorder="1"/>
    <xf numFmtId="9" fontId="0" fillId="0" borderId="8" xfId="0" applyNumberFormat="1" applyBorder="1"/>
    <xf numFmtId="3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0</xdr:row>
      <xdr:rowOff>0</xdr:rowOff>
    </xdr:from>
    <xdr:to>
      <xdr:col>15</xdr:col>
      <xdr:colOff>28575</xdr:colOff>
      <xdr:row>88</xdr:row>
      <xdr:rowOff>95250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AAFFA26-358A-8482-4250-43DF639393F9}"/>
            </a:ext>
          </a:extLst>
        </xdr:cNvPr>
        <xdr:cNvCxnSpPr/>
      </xdr:nvCxnSpPr>
      <xdr:spPr>
        <a:xfrm>
          <a:off x="9677400" y="0"/>
          <a:ext cx="0" cy="1321117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0</xdr:row>
      <xdr:rowOff>0</xdr:rowOff>
    </xdr:from>
    <xdr:to>
      <xdr:col>29</xdr:col>
      <xdr:colOff>38100</xdr:colOff>
      <xdr:row>88</xdr:row>
      <xdr:rowOff>19050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5D41489-70C3-4B48-AEF4-03D48424C00C}"/>
            </a:ext>
          </a:extLst>
        </xdr:cNvPr>
        <xdr:cNvCxnSpPr/>
      </xdr:nvCxnSpPr>
      <xdr:spPr>
        <a:xfrm>
          <a:off x="18221325" y="0"/>
          <a:ext cx="0" cy="1313497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1CCE-7926-4513-8707-4E46934FD07D}">
  <sheetPr>
    <outlinePr showOutlineSymbols="0"/>
  </sheetPr>
  <dimension ref="A1:M30"/>
  <sheetViews>
    <sheetView showOutlineSymbols="0" workbookViewId="0">
      <selection activeCell="L9" sqref="L9"/>
    </sheetView>
  </sheetViews>
  <sheetFormatPr defaultRowHeight="12.75" outlineLevelRow="1" x14ac:dyDescent="0.2"/>
  <cols>
    <col min="1" max="1" width="3" customWidth="1"/>
  </cols>
  <sheetData>
    <row r="1" spans="1:13" x14ac:dyDescent="0.2">
      <c r="A1" t="e" vm="1">
        <v>#VALUE!</v>
      </c>
    </row>
    <row r="2" spans="1:13" x14ac:dyDescent="0.2">
      <c r="A2" s="7"/>
      <c r="B2" s="7" t="s">
        <v>46</v>
      </c>
    </row>
    <row r="3" spans="1:13" x14ac:dyDescent="0.2">
      <c r="B3" t="s">
        <v>47</v>
      </c>
      <c r="K3" t="s">
        <v>28</v>
      </c>
      <c r="L3" s="4">
        <v>25.82</v>
      </c>
      <c r="M3" s="8"/>
    </row>
    <row r="4" spans="1:13" x14ac:dyDescent="0.2">
      <c r="B4" t="s">
        <v>48</v>
      </c>
      <c r="K4" t="s">
        <v>10</v>
      </c>
      <c r="L4" s="1">
        <v>477.32046200000002</v>
      </c>
      <c r="M4" s="8" t="s">
        <v>113</v>
      </c>
    </row>
    <row r="5" spans="1:13" x14ac:dyDescent="0.2">
      <c r="K5" t="s">
        <v>29</v>
      </c>
      <c r="L5" s="1">
        <f>+L3*L4</f>
        <v>12324.414328840001</v>
      </c>
      <c r="M5" s="8"/>
    </row>
    <row r="6" spans="1:13" ht="13.5" customHeight="1" x14ac:dyDescent="0.2">
      <c r="B6" s="9" t="s">
        <v>52</v>
      </c>
      <c r="C6" s="10"/>
      <c r="D6" s="11" t="s">
        <v>53</v>
      </c>
      <c r="E6" s="12" t="s">
        <v>54</v>
      </c>
      <c r="K6" t="s">
        <v>30</v>
      </c>
      <c r="L6" s="1">
        <v>37.4</v>
      </c>
      <c r="M6" s="8" t="s">
        <v>113</v>
      </c>
    </row>
    <row r="7" spans="1:13" outlineLevel="1" x14ac:dyDescent="0.2">
      <c r="B7" s="9" t="s">
        <v>33</v>
      </c>
      <c r="C7" s="10"/>
      <c r="D7" s="19">
        <v>1321</v>
      </c>
      <c r="E7" s="20">
        <f>+D7/$D$11</f>
        <v>0.41344558855747865</v>
      </c>
      <c r="K7" t="s">
        <v>31</v>
      </c>
      <c r="L7" s="1">
        <f>1194.7+1031.1+6237.8</f>
        <v>8463.6</v>
      </c>
      <c r="M7" s="8" t="s">
        <v>113</v>
      </c>
    </row>
    <row r="8" spans="1:13" outlineLevel="1" x14ac:dyDescent="0.2">
      <c r="B8" s="13" t="s">
        <v>34</v>
      </c>
      <c r="D8" s="1">
        <v>1338.5</v>
      </c>
      <c r="E8" s="14">
        <f t="shared" ref="E8:E10" si="0">+D8/$D$11</f>
        <v>0.41892272542330444</v>
      </c>
      <c r="K8" t="s">
        <v>32</v>
      </c>
      <c r="L8" s="1">
        <f>+L5-L6+L7</f>
        <v>20750.614328840002</v>
      </c>
    </row>
    <row r="9" spans="1:13" outlineLevel="1" x14ac:dyDescent="0.2">
      <c r="B9" s="13" t="s">
        <v>35</v>
      </c>
      <c r="D9" s="1">
        <v>243.4</v>
      </c>
      <c r="E9" s="14">
        <f t="shared" si="0"/>
        <v>7.6179149322399928E-2</v>
      </c>
      <c r="L9" s="1">
        <v>1526</v>
      </c>
    </row>
    <row r="10" spans="1:13" outlineLevel="1" x14ac:dyDescent="0.2">
      <c r="B10" s="15" t="s">
        <v>36</v>
      </c>
      <c r="C10" s="16"/>
      <c r="D10" s="17">
        <v>292.2</v>
      </c>
      <c r="E10" s="21">
        <f t="shared" si="0"/>
        <v>9.1452536696816994E-2</v>
      </c>
      <c r="L10" s="23">
        <f>+L8/L9</f>
        <v>13.598043465819137</v>
      </c>
    </row>
    <row r="11" spans="1:13" x14ac:dyDescent="0.2">
      <c r="B11" s="15" t="s">
        <v>55</v>
      </c>
      <c r="C11" s="16"/>
      <c r="D11" s="17">
        <f>+SUM(D7:D10)</f>
        <v>3195.1</v>
      </c>
      <c r="E11" s="18"/>
    </row>
    <row r="12" spans="1:13" x14ac:dyDescent="0.2">
      <c r="K12" t="s">
        <v>60</v>
      </c>
      <c r="L12" t="s">
        <v>61</v>
      </c>
    </row>
    <row r="13" spans="1:13" x14ac:dyDescent="0.2">
      <c r="L13" t="s">
        <v>62</v>
      </c>
    </row>
    <row r="14" spans="1:13" x14ac:dyDescent="0.2">
      <c r="K14" t="s">
        <v>49</v>
      </c>
      <c r="L14">
        <v>1919</v>
      </c>
    </row>
    <row r="15" spans="1:13" x14ac:dyDescent="0.2">
      <c r="K15" t="s">
        <v>50</v>
      </c>
      <c r="L15" t="s">
        <v>57</v>
      </c>
    </row>
    <row r="16" spans="1:13" x14ac:dyDescent="0.2">
      <c r="K16" t="s">
        <v>51</v>
      </c>
      <c r="L16" t="s">
        <v>56</v>
      </c>
    </row>
    <row r="17" spans="2:12" x14ac:dyDescent="0.2">
      <c r="K17" t="s">
        <v>58</v>
      </c>
      <c r="L17" t="s">
        <v>59</v>
      </c>
    </row>
    <row r="21" spans="2:12" x14ac:dyDescent="0.2">
      <c r="B21" s="6" t="s">
        <v>37</v>
      </c>
    </row>
    <row r="22" spans="2:12" x14ac:dyDescent="0.2">
      <c r="B22" s="6" t="s">
        <v>38</v>
      </c>
    </row>
    <row r="24" spans="2:12" x14ac:dyDescent="0.2">
      <c r="B24" s="7" t="s">
        <v>39</v>
      </c>
    </row>
    <row r="25" spans="2:12" x14ac:dyDescent="0.2">
      <c r="B25" t="s">
        <v>40</v>
      </c>
    </row>
    <row r="26" spans="2:12" x14ac:dyDescent="0.2">
      <c r="B26" t="s">
        <v>44</v>
      </c>
    </row>
    <row r="27" spans="2:12" x14ac:dyDescent="0.2">
      <c r="B27" t="s">
        <v>41</v>
      </c>
    </row>
    <row r="28" spans="2:12" x14ac:dyDescent="0.2">
      <c r="B28" t="s">
        <v>42</v>
      </c>
    </row>
    <row r="29" spans="2:12" x14ac:dyDescent="0.2">
      <c r="B29" t="s">
        <v>43</v>
      </c>
    </row>
    <row r="30" spans="2:12" x14ac:dyDescent="0.2">
      <c r="B30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88261-A5C5-49CC-ACCC-E8E8FA0C5295}">
  <dimension ref="A1:EP88"/>
  <sheetViews>
    <sheetView tabSelected="1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Q14" sqref="Q14"/>
    </sheetView>
  </sheetViews>
  <sheetFormatPr defaultRowHeight="12.75" x14ac:dyDescent="0.2"/>
  <cols>
    <col min="1" max="1" width="20.28515625" style="1" bestFit="1" customWidth="1"/>
    <col min="2" max="16384" width="9.140625" style="1"/>
  </cols>
  <sheetData>
    <row r="1" spans="1:146" s="24" customFormat="1" x14ac:dyDescent="0.2">
      <c r="B1" s="24">
        <v>44437</v>
      </c>
      <c r="C1" s="24">
        <v>44528</v>
      </c>
      <c r="D1" s="24">
        <v>44619</v>
      </c>
      <c r="E1" s="24">
        <v>44710</v>
      </c>
      <c r="F1" s="24">
        <v>44801</v>
      </c>
      <c r="G1" s="24">
        <v>44892</v>
      </c>
      <c r="H1" s="24">
        <v>44983</v>
      </c>
      <c r="I1" s="24">
        <v>45074</v>
      </c>
      <c r="J1" s="24">
        <v>45165</v>
      </c>
      <c r="K1" s="24">
        <v>45256</v>
      </c>
      <c r="L1" s="24">
        <v>45347</v>
      </c>
      <c r="M1" s="24">
        <v>45438</v>
      </c>
      <c r="N1" s="24">
        <v>45529</v>
      </c>
      <c r="O1" s="24">
        <v>45620</v>
      </c>
    </row>
    <row r="2" spans="1:146" x14ac:dyDescent="0.2">
      <c r="A2" s="2"/>
      <c r="B2" s="2" t="s">
        <v>18</v>
      </c>
      <c r="C2" s="2" t="s">
        <v>16</v>
      </c>
      <c r="D2" s="2" t="s">
        <v>17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109</v>
      </c>
      <c r="O2" s="2" t="s">
        <v>110</v>
      </c>
      <c r="P2" s="2" t="s">
        <v>111</v>
      </c>
      <c r="Q2" s="2" t="s">
        <v>112</v>
      </c>
      <c r="S2"/>
      <c r="T2">
        <v>2015</v>
      </c>
      <c r="U2">
        <f t="shared" ref="U2:AM2" si="0">+T2+1</f>
        <v>2016</v>
      </c>
      <c r="V2">
        <f t="shared" si="0"/>
        <v>2017</v>
      </c>
      <c r="W2">
        <f t="shared" si="0"/>
        <v>2018</v>
      </c>
      <c r="X2">
        <f t="shared" si="0"/>
        <v>2019</v>
      </c>
      <c r="Y2">
        <f t="shared" si="0"/>
        <v>2020</v>
      </c>
      <c r="Z2">
        <f t="shared" si="0"/>
        <v>2021</v>
      </c>
      <c r="AA2">
        <f t="shared" si="0"/>
        <v>2022</v>
      </c>
      <c r="AB2">
        <f t="shared" si="0"/>
        <v>2023</v>
      </c>
      <c r="AC2">
        <f t="shared" si="0"/>
        <v>2024</v>
      </c>
      <c r="AD2">
        <f t="shared" si="0"/>
        <v>2025</v>
      </c>
      <c r="AE2">
        <f t="shared" si="0"/>
        <v>2026</v>
      </c>
      <c r="AF2">
        <f t="shared" si="0"/>
        <v>2027</v>
      </c>
      <c r="AG2">
        <f t="shared" si="0"/>
        <v>2028</v>
      </c>
      <c r="AH2">
        <f t="shared" si="0"/>
        <v>2029</v>
      </c>
      <c r="AI2">
        <f t="shared" si="0"/>
        <v>2030</v>
      </c>
      <c r="AJ2">
        <f t="shared" si="0"/>
        <v>2031</v>
      </c>
      <c r="AK2">
        <f t="shared" si="0"/>
        <v>2032</v>
      </c>
      <c r="AL2">
        <f t="shared" si="0"/>
        <v>2033</v>
      </c>
      <c r="AM2">
        <f t="shared" si="0"/>
        <v>2034</v>
      </c>
      <c r="AN2">
        <f t="shared" ref="AN2" si="1">+AM2+1</f>
        <v>2035</v>
      </c>
      <c r="AO2">
        <f t="shared" ref="AO2" si="2">+AN2+1</f>
        <v>2036</v>
      </c>
      <c r="AP2">
        <f t="shared" ref="AP2" si="3">+AO2+1</f>
        <v>2037</v>
      </c>
      <c r="AQ2">
        <f t="shared" ref="AQ2" si="4">+AP2+1</f>
        <v>2038</v>
      </c>
      <c r="AR2">
        <f t="shared" ref="AR2" si="5">+AQ2+1</f>
        <v>2039</v>
      </c>
      <c r="AS2">
        <f t="shared" ref="AS2" si="6">+AR2+1</f>
        <v>2040</v>
      </c>
    </row>
    <row r="3" spans="1:146" s="22" customFormat="1" x14ac:dyDescent="0.2">
      <c r="A3" s="22" t="s">
        <v>0</v>
      </c>
      <c r="B3" s="22">
        <v>2653.3</v>
      </c>
      <c r="C3" s="22">
        <v>3058.9</v>
      </c>
      <c r="D3" s="22">
        <v>2913.7</v>
      </c>
      <c r="E3" s="22">
        <v>2910</v>
      </c>
      <c r="F3" s="22">
        <v>2904.3</v>
      </c>
      <c r="G3" s="22">
        <v>3312.9</v>
      </c>
      <c r="H3" s="22">
        <v>3086.5</v>
      </c>
      <c r="I3" s="22">
        <v>2973.3</v>
      </c>
      <c r="J3" s="22">
        <v>2904</v>
      </c>
      <c r="K3" s="22">
        <v>3208.1</v>
      </c>
      <c r="L3" s="22">
        <v>3032.9</v>
      </c>
      <c r="M3" s="22">
        <v>2905.9</v>
      </c>
      <c r="N3" s="22">
        <v>2794.9</v>
      </c>
      <c r="O3" s="22">
        <v>3195.1</v>
      </c>
      <c r="R3" s="3">
        <f>+(AC3/T3)^(1/$S$11)-1</f>
        <v>2.9233562188768936E-2</v>
      </c>
      <c r="T3" s="22">
        <v>9034</v>
      </c>
      <c r="U3" s="22">
        <v>8664.1</v>
      </c>
      <c r="V3" s="22">
        <v>7826.9</v>
      </c>
      <c r="W3" s="22">
        <v>7938.3</v>
      </c>
      <c r="X3" s="22">
        <v>9538.4</v>
      </c>
      <c r="Y3" s="22">
        <v>11054.4</v>
      </c>
      <c r="Z3" s="22">
        <v>11184.7</v>
      </c>
      <c r="AA3" s="22">
        <f>+SUM(B3:E3)</f>
        <v>11535.900000000001</v>
      </c>
      <c r="AB3" s="22">
        <f>+SUM(F3:I3)</f>
        <v>12277</v>
      </c>
      <c r="AC3" s="22">
        <f>+SUM(J3:M3)</f>
        <v>12050.9</v>
      </c>
      <c r="AD3" s="22">
        <f>+AC3*1</f>
        <v>12050.9</v>
      </c>
      <c r="AE3" s="22">
        <f t="shared" ref="AE3:AS3" si="7">+AD3*1.03</f>
        <v>12412.427</v>
      </c>
      <c r="AF3" s="22">
        <f t="shared" si="7"/>
        <v>12784.79981</v>
      </c>
      <c r="AG3" s="22">
        <f t="shared" si="7"/>
        <v>13168.343804300001</v>
      </c>
      <c r="AH3" s="22">
        <f t="shared" si="7"/>
        <v>13563.394118429002</v>
      </c>
      <c r="AI3" s="22">
        <f t="shared" si="7"/>
        <v>13970.295941981873</v>
      </c>
      <c r="AJ3" s="22">
        <f t="shared" si="7"/>
        <v>14389.404820241329</v>
      </c>
      <c r="AK3" s="22">
        <f t="shared" si="7"/>
        <v>14821.08696484857</v>
      </c>
      <c r="AL3" s="22">
        <f t="shared" si="7"/>
        <v>15265.719573794027</v>
      </c>
      <c r="AM3" s="22">
        <f t="shared" si="7"/>
        <v>15723.691161007848</v>
      </c>
      <c r="AN3" s="22">
        <f t="shared" si="7"/>
        <v>16195.401895838084</v>
      </c>
      <c r="AO3" s="22">
        <f t="shared" si="7"/>
        <v>16681.263952713227</v>
      </c>
      <c r="AP3" s="22">
        <f t="shared" si="7"/>
        <v>17181.701871294623</v>
      </c>
      <c r="AQ3" s="22">
        <f t="shared" si="7"/>
        <v>17697.152927433461</v>
      </c>
      <c r="AR3" s="22">
        <f t="shared" si="7"/>
        <v>18228.067515256465</v>
      </c>
      <c r="AS3" s="22">
        <f t="shared" si="7"/>
        <v>18774.909540714161</v>
      </c>
    </row>
    <row r="4" spans="1:146" x14ac:dyDescent="0.2">
      <c r="A4" s="1" t="s">
        <v>1</v>
      </c>
      <c r="B4" s="1">
        <v>1979.9</v>
      </c>
      <c r="C4" s="1">
        <v>2304.1</v>
      </c>
      <c r="D4" s="1">
        <v>2216.5</v>
      </c>
      <c r="E4" s="1">
        <v>2196.6</v>
      </c>
      <c r="F4" s="1">
        <v>2184</v>
      </c>
      <c r="G4" s="1">
        <v>2390.6</v>
      </c>
      <c r="H4" s="1">
        <v>2247.6999999999998</v>
      </c>
      <c r="I4" s="1">
        <v>2189.9</v>
      </c>
      <c r="J4" s="1">
        <v>2080.9</v>
      </c>
      <c r="K4" s="1">
        <v>2361.5</v>
      </c>
      <c r="L4" s="1">
        <v>2174.1</v>
      </c>
      <c r="M4" s="1">
        <v>2101</v>
      </c>
      <c r="N4" s="1">
        <v>2055.6</v>
      </c>
      <c r="O4" s="1">
        <v>2348.4</v>
      </c>
      <c r="T4" s="1">
        <v>6737.8</v>
      </c>
      <c r="U4" s="1">
        <v>6234.9</v>
      </c>
      <c r="V4" s="1">
        <v>5484.8</v>
      </c>
      <c r="W4" s="1">
        <v>5586.8</v>
      </c>
      <c r="X4" s="1">
        <v>6885.4</v>
      </c>
      <c r="Y4" s="1">
        <v>7984.8</v>
      </c>
      <c r="Z4" s="1">
        <v>8005.5</v>
      </c>
      <c r="AA4" s="1">
        <f>+SUM(B4:E4)</f>
        <v>8697.1</v>
      </c>
      <c r="AB4" s="1">
        <f>+SUM(F4:I4)</f>
        <v>9012.2000000000007</v>
      </c>
      <c r="AC4" s="1">
        <f>+SUM(J4:M4)</f>
        <v>8717.5</v>
      </c>
      <c r="AD4" s="1">
        <f>+AC4*1</f>
        <v>8717.5</v>
      </c>
      <c r="AE4" s="1">
        <f t="shared" ref="AE4:AS4" si="8">+AD4*1.02</f>
        <v>8891.85</v>
      </c>
      <c r="AF4" s="1">
        <f t="shared" si="8"/>
        <v>9069.6869999999999</v>
      </c>
      <c r="AG4" s="1">
        <f t="shared" si="8"/>
        <v>9251.0807399999994</v>
      </c>
      <c r="AH4" s="1">
        <f t="shared" si="8"/>
        <v>9436.1023547999994</v>
      </c>
      <c r="AI4" s="1">
        <f t="shared" si="8"/>
        <v>9624.8244018959995</v>
      </c>
      <c r="AJ4" s="1">
        <f t="shared" si="8"/>
        <v>9817.3208899339188</v>
      </c>
      <c r="AK4" s="1">
        <f t="shared" si="8"/>
        <v>10013.667307732598</v>
      </c>
      <c r="AL4" s="1">
        <f t="shared" si="8"/>
        <v>10213.94065388725</v>
      </c>
      <c r="AM4" s="1">
        <f t="shared" si="8"/>
        <v>10418.219466964994</v>
      </c>
      <c r="AN4" s="1">
        <f t="shared" si="8"/>
        <v>10626.583856304294</v>
      </c>
      <c r="AO4" s="1">
        <f t="shared" si="8"/>
        <v>10839.11553343038</v>
      </c>
      <c r="AP4" s="1">
        <f t="shared" si="8"/>
        <v>11055.897844098989</v>
      </c>
      <c r="AQ4" s="1">
        <f t="shared" si="8"/>
        <v>11277.015800980969</v>
      </c>
      <c r="AR4" s="1">
        <f t="shared" si="8"/>
        <v>11502.556117000589</v>
      </c>
      <c r="AS4" s="1">
        <f t="shared" si="8"/>
        <v>11732.607239340601</v>
      </c>
    </row>
    <row r="5" spans="1:146" x14ac:dyDescent="0.2">
      <c r="A5" s="1" t="s">
        <v>2</v>
      </c>
      <c r="B5" s="1">
        <f t="shared" ref="B5" si="9">+B3-B4</f>
        <v>673.40000000000009</v>
      </c>
      <c r="C5" s="1">
        <f t="shared" ref="C5" si="10">+C3-C4</f>
        <v>754.80000000000018</v>
      </c>
      <c r="D5" s="1">
        <f t="shared" ref="D5:E5" si="11">+D3-D4</f>
        <v>697.19999999999982</v>
      </c>
      <c r="E5" s="1">
        <f t="shared" si="11"/>
        <v>713.40000000000009</v>
      </c>
      <c r="F5" s="1">
        <f t="shared" ref="F5:G5" si="12">+F3-F4</f>
        <v>720.30000000000018</v>
      </c>
      <c r="G5" s="1">
        <f t="shared" si="12"/>
        <v>922.30000000000018</v>
      </c>
      <c r="H5" s="1">
        <f t="shared" ref="H5:O5" si="13">+H3-H4</f>
        <v>838.80000000000018</v>
      </c>
      <c r="I5" s="1">
        <f t="shared" si="13"/>
        <v>783.40000000000009</v>
      </c>
      <c r="J5" s="1">
        <f t="shared" si="13"/>
        <v>823.09999999999991</v>
      </c>
      <c r="K5" s="1">
        <f t="shared" si="13"/>
        <v>846.59999999999991</v>
      </c>
      <c r="L5" s="1">
        <f t="shared" si="13"/>
        <v>858.80000000000018</v>
      </c>
      <c r="M5" s="1">
        <f t="shared" si="13"/>
        <v>804.90000000000009</v>
      </c>
      <c r="N5" s="1">
        <f t="shared" si="13"/>
        <v>739.30000000000018</v>
      </c>
      <c r="O5" s="1">
        <f t="shared" si="13"/>
        <v>846.69999999999982</v>
      </c>
      <c r="T5" s="1">
        <f t="shared" ref="T5:U5" si="14">+T3-T4</f>
        <v>2296.1999999999998</v>
      </c>
      <c r="U5" s="1">
        <f t="shared" si="14"/>
        <v>2429.2000000000007</v>
      </c>
      <c r="V5" s="1">
        <f t="shared" ref="V5:W5" si="15">+V3-V4</f>
        <v>2342.0999999999995</v>
      </c>
      <c r="W5" s="1">
        <f t="shared" si="15"/>
        <v>2351.5</v>
      </c>
      <c r="X5" s="1">
        <f t="shared" ref="X5:Y5" si="16">+X3-X4</f>
        <v>2653</v>
      </c>
      <c r="Y5" s="1">
        <f t="shared" si="16"/>
        <v>3069.5999999999995</v>
      </c>
      <c r="Z5" s="1">
        <f t="shared" ref="Z5:AA5" si="17">+Z3-Z4</f>
        <v>3179.2000000000007</v>
      </c>
      <c r="AA5" s="1">
        <f t="shared" si="17"/>
        <v>2838.8000000000011</v>
      </c>
      <c r="AB5" s="1">
        <f t="shared" ref="AB5:AD5" si="18">+AB3-AB4</f>
        <v>3264.7999999999993</v>
      </c>
      <c r="AC5" s="1">
        <f t="shared" si="18"/>
        <v>3333.3999999999996</v>
      </c>
      <c r="AD5" s="1">
        <f t="shared" si="18"/>
        <v>3333.3999999999996</v>
      </c>
      <c r="AE5" s="1">
        <f t="shared" ref="AE5:AS5" si="19">+AE3-AE4</f>
        <v>3520.5769999999993</v>
      </c>
      <c r="AF5" s="1">
        <f t="shared" si="19"/>
        <v>3715.1128100000005</v>
      </c>
      <c r="AG5" s="1">
        <f t="shared" si="19"/>
        <v>3917.2630643000011</v>
      </c>
      <c r="AH5" s="1">
        <f t="shared" si="19"/>
        <v>4127.2917636290022</v>
      </c>
      <c r="AI5" s="1">
        <f t="shared" si="19"/>
        <v>4345.4715400858731</v>
      </c>
      <c r="AJ5" s="1">
        <f t="shared" si="19"/>
        <v>4572.0839303074099</v>
      </c>
      <c r="AK5" s="1">
        <f t="shared" si="19"/>
        <v>4807.4196571159719</v>
      </c>
      <c r="AL5" s="1">
        <f t="shared" si="19"/>
        <v>5051.7789199067774</v>
      </c>
      <c r="AM5" s="1">
        <f t="shared" si="19"/>
        <v>5305.4716940428534</v>
      </c>
      <c r="AN5" s="1">
        <f t="shared" si="19"/>
        <v>5568.8180395337895</v>
      </c>
      <c r="AO5" s="1">
        <f t="shared" si="19"/>
        <v>5842.1484192828466</v>
      </c>
      <c r="AP5" s="1">
        <f t="shared" si="19"/>
        <v>6125.8040271956343</v>
      </c>
      <c r="AQ5" s="1">
        <f t="shared" si="19"/>
        <v>6420.1371264524914</v>
      </c>
      <c r="AR5" s="1">
        <f t="shared" si="19"/>
        <v>6725.511398255876</v>
      </c>
      <c r="AS5" s="1">
        <f t="shared" si="19"/>
        <v>7042.3023013735601</v>
      </c>
    </row>
    <row r="6" spans="1:146" x14ac:dyDescent="0.2">
      <c r="A6" s="1" t="s">
        <v>3</v>
      </c>
      <c r="B6" s="1">
        <v>310.10000000000002</v>
      </c>
      <c r="C6" s="1">
        <v>345.4</v>
      </c>
      <c r="D6" s="1">
        <v>338</v>
      </c>
      <c r="E6" s="1">
        <v>499.3</v>
      </c>
      <c r="F6" s="1">
        <v>741.6</v>
      </c>
      <c r="G6" s="1">
        <v>372.7</v>
      </c>
      <c r="H6" s="1">
        <v>348.8</v>
      </c>
      <c r="I6" s="1">
        <v>726.4</v>
      </c>
      <c r="J6" s="1">
        <v>334.1</v>
      </c>
      <c r="K6" s="1">
        <v>398.1</v>
      </c>
      <c r="L6" s="1">
        <v>387.4</v>
      </c>
      <c r="M6" s="1">
        <v>1361</v>
      </c>
      <c r="N6" s="1">
        <v>337.7</v>
      </c>
      <c r="O6" s="1">
        <v>444.1</v>
      </c>
      <c r="T6" s="1">
        <v>1383.4</v>
      </c>
      <c r="U6" s="1">
        <v>2024.6</v>
      </c>
      <c r="V6" s="1">
        <v>1417.1</v>
      </c>
      <c r="W6" s="1">
        <v>1398.4</v>
      </c>
      <c r="X6" s="1">
        <v>1473.4</v>
      </c>
      <c r="Y6" s="1">
        <v>1622.5</v>
      </c>
      <c r="Z6" s="1">
        <v>1403</v>
      </c>
      <c r="AA6" s="1">
        <f>+SUM(B6:E6)</f>
        <v>1492.8</v>
      </c>
      <c r="AB6" s="1">
        <f>+SUM(F6:I6)</f>
        <v>2189.5</v>
      </c>
      <c r="AC6" s="1">
        <f>+SUM(J6:M6)</f>
        <v>2480.6</v>
      </c>
      <c r="AD6" s="1">
        <f>+AC6*1</f>
        <v>2480.6</v>
      </c>
      <c r="AE6" s="1">
        <f t="shared" ref="AE6:AS6" si="20">+AD6*1.02</f>
        <v>2530.212</v>
      </c>
      <c r="AF6" s="1">
        <f t="shared" si="20"/>
        <v>2580.8162400000001</v>
      </c>
      <c r="AG6" s="1">
        <f t="shared" si="20"/>
        <v>2632.4325648000004</v>
      </c>
      <c r="AH6" s="1">
        <f t="shared" si="20"/>
        <v>2685.0812160960004</v>
      </c>
      <c r="AI6" s="1">
        <f t="shared" si="20"/>
        <v>2738.7828404179204</v>
      </c>
      <c r="AJ6" s="1">
        <f t="shared" si="20"/>
        <v>2793.5584972262786</v>
      </c>
      <c r="AK6" s="1">
        <f t="shared" si="20"/>
        <v>2849.4296671708044</v>
      </c>
      <c r="AL6" s="1">
        <f t="shared" si="20"/>
        <v>2906.4182605142205</v>
      </c>
      <c r="AM6" s="1">
        <f t="shared" si="20"/>
        <v>2964.5466257245048</v>
      </c>
      <c r="AN6" s="1">
        <f t="shared" si="20"/>
        <v>3023.8375582389949</v>
      </c>
      <c r="AO6" s="1">
        <f t="shared" si="20"/>
        <v>3084.314309403775</v>
      </c>
      <c r="AP6" s="1">
        <f t="shared" si="20"/>
        <v>3146.0005955918505</v>
      </c>
      <c r="AQ6" s="1">
        <f t="shared" si="20"/>
        <v>3208.9206075036877</v>
      </c>
      <c r="AR6" s="1">
        <f t="shared" si="20"/>
        <v>3273.0990196537614</v>
      </c>
      <c r="AS6" s="1">
        <f t="shared" si="20"/>
        <v>3338.5610000468369</v>
      </c>
    </row>
    <row r="7" spans="1:146" x14ac:dyDescent="0.2">
      <c r="A7" s="1" t="s">
        <v>4</v>
      </c>
      <c r="B7" s="1">
        <f t="shared" ref="B7" si="21">+B5-B6</f>
        <v>363.30000000000007</v>
      </c>
      <c r="C7" s="1">
        <f t="shared" ref="C7" si="22">+C5-C6</f>
        <v>409.4000000000002</v>
      </c>
      <c r="D7" s="1">
        <f t="shared" ref="D7:E7" si="23">+D5-D6</f>
        <v>359.19999999999982</v>
      </c>
      <c r="E7" s="1">
        <f t="shared" si="23"/>
        <v>214.10000000000008</v>
      </c>
      <c r="F7" s="1">
        <f t="shared" ref="F7:G7" si="24">+F5-F6</f>
        <v>-21.299999999999841</v>
      </c>
      <c r="G7" s="1">
        <f t="shared" si="24"/>
        <v>549.60000000000014</v>
      </c>
      <c r="H7" s="1">
        <f t="shared" ref="H7:O7" si="25">+H5-H6</f>
        <v>490.00000000000017</v>
      </c>
      <c r="I7" s="1">
        <f t="shared" si="25"/>
        <v>57.000000000000114</v>
      </c>
      <c r="J7" s="1">
        <f t="shared" si="25"/>
        <v>488.99999999999989</v>
      </c>
      <c r="K7" s="1">
        <f t="shared" si="25"/>
        <v>448.49999999999989</v>
      </c>
      <c r="L7" s="1">
        <f t="shared" si="25"/>
        <v>471.4000000000002</v>
      </c>
      <c r="M7" s="1">
        <f t="shared" si="25"/>
        <v>-556.09999999999991</v>
      </c>
      <c r="N7" s="1">
        <f t="shared" si="25"/>
        <v>401.60000000000019</v>
      </c>
      <c r="O7" s="1">
        <f t="shared" si="25"/>
        <v>402.5999999999998</v>
      </c>
      <c r="T7" s="1">
        <f t="shared" ref="T7:U7" si="26">+T5-T6</f>
        <v>912.79999999999973</v>
      </c>
      <c r="U7" s="1">
        <f t="shared" si="26"/>
        <v>404.60000000000082</v>
      </c>
      <c r="V7" s="1">
        <f t="shared" ref="V7:W7" si="27">+V5-V6</f>
        <v>924.99999999999955</v>
      </c>
      <c r="W7" s="1">
        <f t="shared" si="27"/>
        <v>953.09999999999991</v>
      </c>
      <c r="X7" s="1">
        <f t="shared" ref="X7:Y7" si="28">+X5-X6</f>
        <v>1179.5999999999999</v>
      </c>
      <c r="Y7" s="1">
        <f t="shared" si="28"/>
        <v>1447.0999999999995</v>
      </c>
      <c r="Z7" s="1">
        <f t="shared" ref="Z7:AA7" si="29">+Z5-Z6</f>
        <v>1776.2000000000007</v>
      </c>
      <c r="AA7" s="1">
        <f t="shared" si="29"/>
        <v>1346.0000000000011</v>
      </c>
      <c r="AB7" s="1">
        <f t="shared" ref="AB7:AS7" si="30">+AB5-AB6</f>
        <v>1075.2999999999993</v>
      </c>
      <c r="AC7" s="1">
        <f t="shared" si="30"/>
        <v>852.79999999999973</v>
      </c>
      <c r="AD7" s="1">
        <f t="shared" si="30"/>
        <v>852.79999999999973</v>
      </c>
      <c r="AE7" s="1">
        <f t="shared" si="30"/>
        <v>990.36499999999933</v>
      </c>
      <c r="AF7" s="1">
        <f t="shared" si="30"/>
        <v>1134.2965700000004</v>
      </c>
      <c r="AG7" s="1">
        <f t="shared" si="30"/>
        <v>1284.8304995000008</v>
      </c>
      <c r="AH7" s="1">
        <f t="shared" si="30"/>
        <v>1442.2105475330018</v>
      </c>
      <c r="AI7" s="1">
        <f t="shared" si="30"/>
        <v>1606.6886996679527</v>
      </c>
      <c r="AJ7" s="1">
        <f t="shared" si="30"/>
        <v>1778.5254330811313</v>
      </c>
      <c r="AK7" s="1">
        <f t="shared" si="30"/>
        <v>1957.9899899451675</v>
      </c>
      <c r="AL7" s="1">
        <f t="shared" si="30"/>
        <v>2145.360659392557</v>
      </c>
      <c r="AM7" s="1">
        <f t="shared" si="30"/>
        <v>2340.9250683183486</v>
      </c>
      <c r="AN7" s="1">
        <f t="shared" si="30"/>
        <v>2544.9804812947946</v>
      </c>
      <c r="AO7" s="1">
        <f t="shared" si="30"/>
        <v>2757.8341098790715</v>
      </c>
      <c r="AP7" s="1">
        <f t="shared" si="30"/>
        <v>2979.8034316037838</v>
      </c>
      <c r="AQ7" s="1">
        <f t="shared" si="30"/>
        <v>3211.2165189488037</v>
      </c>
      <c r="AR7" s="1">
        <f t="shared" si="30"/>
        <v>3452.4123786021146</v>
      </c>
      <c r="AS7" s="1">
        <f t="shared" si="30"/>
        <v>3703.7413013267233</v>
      </c>
    </row>
    <row r="8" spans="1:146" x14ac:dyDescent="0.2">
      <c r="A8" s="1" t="s">
        <v>5</v>
      </c>
      <c r="B8" s="1">
        <v>-94.2</v>
      </c>
      <c r="C8" s="1">
        <v>-94.9</v>
      </c>
      <c r="D8" s="1">
        <v>-94.6</v>
      </c>
      <c r="E8" s="1">
        <v>-96.2</v>
      </c>
      <c r="F8" s="1">
        <v>-97.1</v>
      </c>
      <c r="G8" s="1">
        <v>-100.3</v>
      </c>
      <c r="H8" s="1">
        <v>-104.2</v>
      </c>
      <c r="I8" s="1">
        <v>-108</v>
      </c>
      <c r="J8" s="1">
        <v>-106</v>
      </c>
      <c r="K8" s="1">
        <v>-113.3</v>
      </c>
      <c r="L8" s="1">
        <v>-106.5</v>
      </c>
      <c r="M8" s="1">
        <v>-104.7</v>
      </c>
      <c r="N8" s="1">
        <v>-105.8</v>
      </c>
      <c r="O8" s="1">
        <v>-108.2</v>
      </c>
      <c r="T8" s="1">
        <v>-328.2</v>
      </c>
      <c r="U8" s="1">
        <v>-295.8</v>
      </c>
      <c r="V8" s="1">
        <v>-195.5</v>
      </c>
      <c r="W8" s="1">
        <v>-158.69999999999999</v>
      </c>
      <c r="X8" s="1">
        <v>-487.1</v>
      </c>
      <c r="Y8" s="1">
        <v>-487.1</v>
      </c>
      <c r="Z8" s="1">
        <v>-420.4</v>
      </c>
      <c r="AA8" s="1">
        <f>+SUM(B8:E8)</f>
        <v>-379.90000000000003</v>
      </c>
      <c r="AB8" s="1">
        <f>+SUM(F8:I8)</f>
        <v>-409.59999999999997</v>
      </c>
      <c r="AC8" s="1">
        <f>+SUM(J8:M8)</f>
        <v>-430.5</v>
      </c>
      <c r="AD8" s="1">
        <f>+AC24*0.04</f>
        <v>-334.54400000000004</v>
      </c>
      <c r="AE8" s="1">
        <f t="shared" ref="AE8:AS8" si="31">+AD24*0.04</f>
        <v>-311.32400000000001</v>
      </c>
      <c r="AF8" s="1">
        <f t="shared" si="31"/>
        <v>-282.66666440000006</v>
      </c>
      <c r="AG8" s="1">
        <f t="shared" si="31"/>
        <v>-248.16877318400003</v>
      </c>
      <c r="AH8" s="1">
        <f t="shared" si="31"/>
        <v>-207.40400782268</v>
      </c>
      <c r="AI8" s="1">
        <f t="shared" si="31"/>
        <v>-159.92170497378314</v>
      </c>
      <c r="AJ8" s="1">
        <f t="shared" si="31"/>
        <v>-105.24553994276387</v>
      </c>
      <c r="AK8" s="1">
        <f t="shared" si="31"/>
        <v>-42.872135543203129</v>
      </c>
      <c r="AL8" s="1">
        <f t="shared" si="31"/>
        <v>27.730408302698297</v>
      </c>
      <c r="AM8" s="1">
        <f t="shared" si="31"/>
        <v>107.12406920450586</v>
      </c>
      <c r="AN8" s="1">
        <f t="shared" si="31"/>
        <v>195.90254651081739</v>
      </c>
      <c r="AO8" s="1">
        <f t="shared" si="31"/>
        <v>294.69300078006171</v>
      </c>
      <c r="AP8" s="1">
        <f t="shared" si="31"/>
        <v>404.1578946097178</v>
      </c>
      <c r="AQ8" s="1">
        <f t="shared" si="31"/>
        <v>524.99694134679544</v>
      </c>
      <c r="AR8" s="1">
        <f t="shared" si="31"/>
        <v>657.94916866238987</v>
      </c>
      <c r="AS8" s="1">
        <f t="shared" si="31"/>
        <v>803.79510446758957</v>
      </c>
    </row>
    <row r="9" spans="1:146" x14ac:dyDescent="0.2">
      <c r="A9" s="1" t="s">
        <v>6</v>
      </c>
      <c r="B9" s="1">
        <f t="shared" ref="B9" si="32">+B7+B8</f>
        <v>269.10000000000008</v>
      </c>
      <c r="C9" s="1">
        <f t="shared" ref="C9" si="33">+C7+C8</f>
        <v>314.50000000000023</v>
      </c>
      <c r="D9" s="1">
        <f t="shared" ref="D9:E9" si="34">+D7+D8</f>
        <v>264.5999999999998</v>
      </c>
      <c r="E9" s="1">
        <f t="shared" si="34"/>
        <v>117.90000000000008</v>
      </c>
      <c r="F9" s="1">
        <f t="shared" ref="F9:G9" si="35">+F7+F8</f>
        <v>-118.39999999999984</v>
      </c>
      <c r="G9" s="1">
        <f t="shared" si="35"/>
        <v>449.30000000000013</v>
      </c>
      <c r="H9" s="1">
        <f t="shared" ref="H9:O9" si="36">+H7+H8</f>
        <v>385.80000000000018</v>
      </c>
      <c r="I9" s="1">
        <f t="shared" si="36"/>
        <v>-50.999999999999886</v>
      </c>
      <c r="J9" s="1">
        <f t="shared" si="36"/>
        <v>382.99999999999989</v>
      </c>
      <c r="K9" s="1">
        <f t="shared" si="36"/>
        <v>335.19999999999987</v>
      </c>
      <c r="L9" s="1">
        <f t="shared" si="36"/>
        <v>364.9000000000002</v>
      </c>
      <c r="M9" s="1">
        <f t="shared" si="36"/>
        <v>-660.8</v>
      </c>
      <c r="N9" s="1">
        <f t="shared" si="36"/>
        <v>295.80000000000018</v>
      </c>
      <c r="O9" s="1">
        <f t="shared" si="36"/>
        <v>294.39999999999981</v>
      </c>
      <c r="T9" s="1">
        <f t="shared" ref="T9:U9" si="37">+T7+T8</f>
        <v>584.59999999999968</v>
      </c>
      <c r="U9" s="1">
        <f t="shared" si="37"/>
        <v>108.80000000000081</v>
      </c>
      <c r="V9" s="1">
        <f t="shared" ref="V9:W9" si="38">+V7+V8</f>
        <v>729.49999999999955</v>
      </c>
      <c r="W9" s="1">
        <f t="shared" si="38"/>
        <v>794.39999999999986</v>
      </c>
      <c r="X9" s="1">
        <f t="shared" ref="X9:Y9" si="39">+X7+X8</f>
        <v>692.49999999999989</v>
      </c>
      <c r="Y9" s="1">
        <f t="shared" si="39"/>
        <v>959.99999999999943</v>
      </c>
      <c r="Z9" s="1">
        <f t="shared" ref="Z9:AA9" si="40">+Z7+Z8</f>
        <v>1355.8000000000006</v>
      </c>
      <c r="AA9" s="1">
        <f t="shared" si="40"/>
        <v>966.10000000000105</v>
      </c>
      <c r="AB9" s="1">
        <f t="shared" ref="AB9:AS9" si="41">+AB7+AB8</f>
        <v>665.69999999999936</v>
      </c>
      <c r="AC9" s="1">
        <f t="shared" si="41"/>
        <v>422.29999999999973</v>
      </c>
      <c r="AD9" s="1">
        <f t="shared" si="41"/>
        <v>518.25599999999963</v>
      </c>
      <c r="AE9" s="1">
        <f t="shared" si="41"/>
        <v>679.04099999999926</v>
      </c>
      <c r="AF9" s="1">
        <f t="shared" si="41"/>
        <v>851.62990560000037</v>
      </c>
      <c r="AG9" s="1">
        <f t="shared" si="41"/>
        <v>1036.6617263160008</v>
      </c>
      <c r="AH9" s="1">
        <f t="shared" si="41"/>
        <v>1234.8065397103219</v>
      </c>
      <c r="AI9" s="1">
        <f t="shared" si="41"/>
        <v>1446.7669946941696</v>
      </c>
      <c r="AJ9" s="1">
        <f t="shared" si="41"/>
        <v>1673.2798931383675</v>
      </c>
      <c r="AK9" s="1">
        <f t="shared" si="41"/>
        <v>1915.1178544019645</v>
      </c>
      <c r="AL9" s="1">
        <f t="shared" si="41"/>
        <v>2173.0910676952553</v>
      </c>
      <c r="AM9" s="1">
        <f t="shared" si="41"/>
        <v>2448.0491375228544</v>
      </c>
      <c r="AN9" s="1">
        <f t="shared" si="41"/>
        <v>2740.8830278056121</v>
      </c>
      <c r="AO9" s="1">
        <f t="shared" si="41"/>
        <v>3052.5271106591331</v>
      </c>
      <c r="AP9" s="1">
        <f t="shared" si="41"/>
        <v>3383.9613262135017</v>
      </c>
      <c r="AQ9" s="1">
        <f t="shared" si="41"/>
        <v>3736.2134602955994</v>
      </c>
      <c r="AR9" s="1">
        <f t="shared" si="41"/>
        <v>4110.3615472645042</v>
      </c>
      <c r="AS9" s="1">
        <f t="shared" si="41"/>
        <v>4507.5364057943125</v>
      </c>
    </row>
    <row r="10" spans="1:146" x14ac:dyDescent="0.2">
      <c r="A10" s="1" t="s">
        <v>7</v>
      </c>
      <c r="B10" s="1">
        <v>69.7</v>
      </c>
      <c r="C10" s="1">
        <f>84.2</f>
        <v>84.2</v>
      </c>
      <c r="D10" s="1">
        <v>109.9</v>
      </c>
      <c r="E10" s="1">
        <v>26.7</v>
      </c>
      <c r="F10" s="1">
        <v>14.4</v>
      </c>
      <c r="G10" s="1">
        <f>122.5-49.3</f>
        <v>73.2</v>
      </c>
      <c r="H10" s="1">
        <v>100.1</v>
      </c>
      <c r="I10" s="1">
        <v>-18.3</v>
      </c>
      <c r="J10" s="1">
        <v>98.3</v>
      </c>
      <c r="K10" s="1">
        <v>102.9</v>
      </c>
      <c r="L10" s="1">
        <v>95.9</v>
      </c>
      <c r="M10" s="1">
        <v>-34.6</v>
      </c>
      <c r="N10" s="1">
        <v>-138.9</v>
      </c>
      <c r="O10" s="1">
        <v>61.5</v>
      </c>
      <c r="T10" s="1">
        <v>212.7</v>
      </c>
      <c r="U10" s="1">
        <v>46.4</v>
      </c>
      <c r="V10" s="1">
        <v>254.7</v>
      </c>
      <c r="W10" s="1">
        <v>174.6</v>
      </c>
      <c r="X10" s="1">
        <v>201.3</v>
      </c>
      <c r="Y10" s="1">
        <v>201.3</v>
      </c>
      <c r="Z10" s="1">
        <v>-193.8</v>
      </c>
      <c r="AA10" s="1">
        <f>+SUM(B10:E10)</f>
        <v>290.5</v>
      </c>
      <c r="AB10" s="1">
        <f>+SUM(F10:I10)</f>
        <v>169.39999999999998</v>
      </c>
      <c r="AC10" s="1">
        <f>+SUM(J10:M10)</f>
        <v>262.5</v>
      </c>
      <c r="AD10" s="1">
        <f>+AD9*0.25</f>
        <v>129.56399999999991</v>
      </c>
      <c r="AE10" s="1">
        <f t="shared" ref="AE10:AS10" si="42">+AE9*0.25</f>
        <v>169.76024999999981</v>
      </c>
      <c r="AF10" s="1">
        <f t="shared" si="42"/>
        <v>212.90747640000009</v>
      </c>
      <c r="AG10" s="1">
        <f t="shared" si="42"/>
        <v>259.1654315790002</v>
      </c>
      <c r="AH10" s="1">
        <f t="shared" si="42"/>
        <v>308.70163492758047</v>
      </c>
      <c r="AI10" s="1">
        <f t="shared" si="42"/>
        <v>361.69174867354241</v>
      </c>
      <c r="AJ10" s="1">
        <f t="shared" si="42"/>
        <v>418.31997328459187</v>
      </c>
      <c r="AK10" s="1">
        <f t="shared" si="42"/>
        <v>478.77946360049111</v>
      </c>
      <c r="AL10" s="1">
        <f t="shared" si="42"/>
        <v>543.27276692381383</v>
      </c>
      <c r="AM10" s="1">
        <f t="shared" si="42"/>
        <v>612.0122843807136</v>
      </c>
      <c r="AN10" s="1">
        <f t="shared" si="42"/>
        <v>685.22075695140302</v>
      </c>
      <c r="AO10" s="1">
        <f t="shared" si="42"/>
        <v>763.13177766478327</v>
      </c>
      <c r="AP10" s="1">
        <f t="shared" si="42"/>
        <v>845.99033155337543</v>
      </c>
      <c r="AQ10" s="1">
        <f t="shared" si="42"/>
        <v>934.05336507389984</v>
      </c>
      <c r="AR10" s="1">
        <f t="shared" si="42"/>
        <v>1027.5903868161261</v>
      </c>
      <c r="AS10" s="1">
        <f t="shared" si="42"/>
        <v>1126.8841014485781</v>
      </c>
    </row>
    <row r="11" spans="1:146" x14ac:dyDescent="0.2">
      <c r="A11" s="1" t="s">
        <v>114</v>
      </c>
      <c r="B11" s="1">
        <v>20.2</v>
      </c>
      <c r="C11" s="1">
        <v>29.5</v>
      </c>
      <c r="D11" s="1">
        <v>48.1</v>
      </c>
      <c r="E11" s="1">
        <f>+AA11-SUM(B11:D11)</f>
        <v>47.5</v>
      </c>
      <c r="F11" s="1">
        <v>49.2</v>
      </c>
      <c r="G11" s="1">
        <v>49.3</v>
      </c>
      <c r="H11" s="1">
        <v>50.5</v>
      </c>
      <c r="I11" s="1">
        <f>+AB11-SUM(F11:H11)</f>
        <v>63</v>
      </c>
      <c r="J11" s="1">
        <v>35.5</v>
      </c>
      <c r="K11" s="1">
        <v>54.3</v>
      </c>
      <c r="L11" s="1">
        <v>41.2</v>
      </c>
      <c r="M11" s="1">
        <f>+AC11-SUM(J11:L11)</f>
        <v>46.599999999999994</v>
      </c>
      <c r="N11" s="1">
        <v>29.1</v>
      </c>
      <c r="O11" s="1">
        <v>48.5</v>
      </c>
      <c r="R11" s="3">
        <f>+(AC11/T11)^(1/$S$11)-1</f>
        <v>8.3832690155976275E-2</v>
      </c>
      <c r="S11" s="1">
        <v>10</v>
      </c>
      <c r="T11" s="1">
        <v>79.400000000000006</v>
      </c>
      <c r="U11" s="1">
        <v>66.099999999999994</v>
      </c>
      <c r="V11" s="1">
        <v>71.2</v>
      </c>
      <c r="W11" s="1">
        <v>97.3</v>
      </c>
      <c r="X11" s="1">
        <v>73.2</v>
      </c>
      <c r="Y11" s="1">
        <v>73.2</v>
      </c>
      <c r="Z11" s="1">
        <v>84.4</v>
      </c>
      <c r="AA11" s="1">
        <v>145.30000000000001</v>
      </c>
      <c r="AB11" s="1">
        <v>212</v>
      </c>
      <c r="AC11" s="1">
        <v>177.6</v>
      </c>
      <c r="AD11" s="1">
        <f>+AC11*1.08</f>
        <v>191.80799999999999</v>
      </c>
      <c r="AE11" s="1">
        <f t="shared" ref="AE11:AS11" si="43">+AD11*1.08</f>
        <v>207.15264000000002</v>
      </c>
      <c r="AF11" s="1">
        <f t="shared" si="43"/>
        <v>223.72485120000005</v>
      </c>
      <c r="AG11" s="1">
        <f t="shared" si="43"/>
        <v>241.62283929600005</v>
      </c>
      <c r="AH11" s="1">
        <f t="shared" si="43"/>
        <v>260.95266643968006</v>
      </c>
      <c r="AI11" s="1">
        <f t="shared" si="43"/>
        <v>281.82887975485448</v>
      </c>
      <c r="AJ11" s="1">
        <f t="shared" si="43"/>
        <v>304.37519013524286</v>
      </c>
      <c r="AK11" s="1">
        <f t="shared" si="43"/>
        <v>328.7252053460623</v>
      </c>
      <c r="AL11" s="1">
        <f t="shared" si="43"/>
        <v>355.02322177374731</v>
      </c>
      <c r="AM11" s="1">
        <f t="shared" si="43"/>
        <v>383.4250795156471</v>
      </c>
      <c r="AN11" s="1">
        <f t="shared" si="43"/>
        <v>414.09908587689887</v>
      </c>
      <c r="AO11" s="1">
        <f t="shared" si="43"/>
        <v>447.22701274705082</v>
      </c>
      <c r="AP11" s="1">
        <f t="shared" si="43"/>
        <v>483.00517376681489</v>
      </c>
      <c r="AQ11" s="1">
        <f t="shared" si="43"/>
        <v>521.64558766816015</v>
      </c>
      <c r="AR11" s="1">
        <f t="shared" si="43"/>
        <v>563.377234681613</v>
      </c>
      <c r="AS11" s="1">
        <f t="shared" si="43"/>
        <v>608.44741345614204</v>
      </c>
    </row>
    <row r="12" spans="1:146" x14ac:dyDescent="0.2">
      <c r="A12" s="1" t="s">
        <v>8</v>
      </c>
      <c r="B12" s="1">
        <f>+B9-B10+B11</f>
        <v>219.60000000000008</v>
      </c>
      <c r="C12" s="1">
        <f>+C9-C10+C11</f>
        <v>259.80000000000024</v>
      </c>
      <c r="D12" s="1">
        <f t="shared" ref="D12:O12" si="44">+D9-D10+D11</f>
        <v>202.79999999999978</v>
      </c>
      <c r="E12" s="1">
        <f t="shared" si="44"/>
        <v>138.70000000000007</v>
      </c>
      <c r="F12" s="1">
        <f t="shared" si="44"/>
        <v>-83.599999999999838</v>
      </c>
      <c r="G12" s="1">
        <f t="shared" si="44"/>
        <v>425.40000000000015</v>
      </c>
      <c r="H12" s="1">
        <f t="shared" si="44"/>
        <v>336.20000000000016</v>
      </c>
      <c r="I12" s="1">
        <f t="shared" si="44"/>
        <v>30.300000000000111</v>
      </c>
      <c r="J12" s="1">
        <f t="shared" si="44"/>
        <v>320.19999999999987</v>
      </c>
      <c r="K12" s="1">
        <f t="shared" si="44"/>
        <v>286.59999999999985</v>
      </c>
      <c r="L12" s="1">
        <f t="shared" si="44"/>
        <v>310.20000000000022</v>
      </c>
      <c r="M12" s="1">
        <f t="shared" si="44"/>
        <v>-579.59999999999991</v>
      </c>
      <c r="N12" s="1">
        <f>+N9-N10+N11</f>
        <v>463.80000000000018</v>
      </c>
      <c r="O12" s="1">
        <f t="shared" si="44"/>
        <v>281.39999999999981</v>
      </c>
      <c r="R12" s="3"/>
      <c r="T12" s="1">
        <f t="shared" ref="T12:AC12" si="45">+T9-T10+T11</f>
        <v>451.29999999999973</v>
      </c>
      <c r="U12" s="1">
        <f t="shared" si="45"/>
        <v>128.5000000000008</v>
      </c>
      <c r="V12" s="1">
        <f t="shared" si="45"/>
        <v>545.99999999999955</v>
      </c>
      <c r="W12" s="1">
        <f t="shared" si="45"/>
        <v>717.0999999999998</v>
      </c>
      <c r="X12" s="1">
        <f t="shared" si="45"/>
        <v>564.39999999999986</v>
      </c>
      <c r="Y12" s="1">
        <f t="shared" si="45"/>
        <v>831.89999999999941</v>
      </c>
      <c r="Z12" s="1">
        <f t="shared" si="45"/>
        <v>1634.0000000000007</v>
      </c>
      <c r="AA12" s="1">
        <f t="shared" si="45"/>
        <v>820.900000000001</v>
      </c>
      <c r="AB12" s="1">
        <f t="shared" si="45"/>
        <v>708.29999999999939</v>
      </c>
      <c r="AC12" s="1">
        <f t="shared" si="45"/>
        <v>337.39999999999975</v>
      </c>
      <c r="AD12" s="1">
        <f>+AD9-AD10+AD11</f>
        <v>580.49999999999977</v>
      </c>
      <c r="AE12" s="1">
        <f t="shared" ref="AE12" si="46">+AE9-AE10+AE11</f>
        <v>716.43338999999946</v>
      </c>
      <c r="AF12" s="1">
        <f t="shared" ref="AF12" si="47">+AF9-AF10+AF11</f>
        <v>862.44728040000041</v>
      </c>
      <c r="AG12" s="1">
        <f t="shared" ref="AG12" si="48">+AG9-AG10+AG11</f>
        <v>1019.1191340330007</v>
      </c>
      <c r="AH12" s="1">
        <f t="shared" ref="AH12" si="49">+AH9-AH10+AH11</f>
        <v>1187.0575712224215</v>
      </c>
      <c r="AI12" s="1">
        <f t="shared" ref="AI12" si="50">+AI9-AI10+AI11</f>
        <v>1366.9041257754816</v>
      </c>
      <c r="AJ12" s="1">
        <f t="shared" ref="AJ12" si="51">+AJ9-AJ10+AJ11</f>
        <v>1559.3351099890183</v>
      </c>
      <c r="AK12" s="1">
        <f t="shared" ref="AK12" si="52">+AK9-AK10+AK11</f>
        <v>1765.0635961475357</v>
      </c>
      <c r="AL12" s="1">
        <f t="shared" ref="AL12" si="53">+AL9-AL10+AL11</f>
        <v>1984.8415225451888</v>
      </c>
      <c r="AM12" s="1">
        <f t="shared" ref="AM12" si="54">+AM9-AM10+AM11</f>
        <v>2219.4619326577881</v>
      </c>
      <c r="AN12" s="1">
        <f t="shared" ref="AN12" si="55">+AN9-AN10+AN11</f>
        <v>2469.7613567311078</v>
      </c>
      <c r="AO12" s="1">
        <f t="shared" ref="AO12" si="56">+AO9-AO10+AO11</f>
        <v>2736.6223457414007</v>
      </c>
      <c r="AP12" s="1">
        <f t="shared" ref="AP12" si="57">+AP9-AP10+AP11</f>
        <v>3020.9761684269411</v>
      </c>
      <c r="AQ12" s="1">
        <f t="shared" ref="AQ12" si="58">+AQ9-AQ10+AQ11</f>
        <v>3323.8056828898598</v>
      </c>
      <c r="AR12" s="1">
        <f t="shared" ref="AR12" si="59">+AR9-AR10+AR11</f>
        <v>3646.1483951299915</v>
      </c>
      <c r="AS12" s="1">
        <f t="shared" ref="AS12" si="60">+AS9-AS10+AS11</f>
        <v>3989.0997178018765</v>
      </c>
      <c r="AT12" s="1">
        <f>+AS12*(1+$AV$17)</f>
        <v>3949.2087206238575</v>
      </c>
      <c r="AU12" s="1">
        <f t="shared" ref="AU12:DF12" si="61">+AT12*(1+$AV$17)</f>
        <v>3909.7166334176191</v>
      </c>
      <c r="AV12" s="1">
        <f t="shared" si="61"/>
        <v>3870.6194670834429</v>
      </c>
      <c r="AW12" s="1">
        <f t="shared" si="61"/>
        <v>3831.9132724126084</v>
      </c>
      <c r="AX12" s="1">
        <f t="shared" si="61"/>
        <v>3793.5941396884823</v>
      </c>
      <c r="AY12" s="1">
        <f t="shared" si="61"/>
        <v>3755.6581982915973</v>
      </c>
      <c r="AZ12" s="1">
        <f t="shared" si="61"/>
        <v>3718.1016163086811</v>
      </c>
      <c r="BA12" s="1">
        <f t="shared" si="61"/>
        <v>3680.9206001455941</v>
      </c>
      <c r="BB12" s="1">
        <f t="shared" si="61"/>
        <v>3644.1113941441381</v>
      </c>
      <c r="BC12" s="1">
        <f t="shared" si="61"/>
        <v>3607.6702802026966</v>
      </c>
      <c r="BD12" s="1">
        <f t="shared" si="61"/>
        <v>3571.5935774006698</v>
      </c>
      <c r="BE12" s="1">
        <f t="shared" si="61"/>
        <v>3535.8776416266633</v>
      </c>
      <c r="BF12" s="1">
        <f t="shared" si="61"/>
        <v>3500.5188652103966</v>
      </c>
      <c r="BG12" s="1">
        <f t="shared" si="61"/>
        <v>3465.5136765582924</v>
      </c>
      <c r="BH12" s="1">
        <f t="shared" si="61"/>
        <v>3430.8585397927095</v>
      </c>
      <c r="BI12" s="1">
        <f t="shared" si="61"/>
        <v>3396.5499543947822</v>
      </c>
      <c r="BJ12" s="1">
        <f t="shared" si="61"/>
        <v>3362.5844548508344</v>
      </c>
      <c r="BK12" s="1">
        <f t="shared" si="61"/>
        <v>3328.9586103023262</v>
      </c>
      <c r="BL12" s="1">
        <f t="shared" si="61"/>
        <v>3295.6690241993028</v>
      </c>
      <c r="BM12" s="1">
        <f t="shared" si="61"/>
        <v>3262.71233395731</v>
      </c>
      <c r="BN12" s="1">
        <f t="shared" si="61"/>
        <v>3230.0852106177367</v>
      </c>
      <c r="BO12" s="1">
        <f t="shared" si="61"/>
        <v>3197.7843585115593</v>
      </c>
      <c r="BP12" s="1">
        <f t="shared" si="61"/>
        <v>3165.8065149264435</v>
      </c>
      <c r="BQ12" s="1">
        <f t="shared" si="61"/>
        <v>3134.1484497771789</v>
      </c>
      <c r="BR12" s="1">
        <f t="shared" si="61"/>
        <v>3102.806965279407</v>
      </c>
      <c r="BS12" s="1">
        <f t="shared" si="61"/>
        <v>3071.7788956266131</v>
      </c>
      <c r="BT12" s="1">
        <f t="shared" si="61"/>
        <v>3041.0611066703468</v>
      </c>
      <c r="BU12" s="1">
        <f t="shared" si="61"/>
        <v>3010.6504956036433</v>
      </c>
      <c r="BV12" s="1">
        <f t="shared" si="61"/>
        <v>2980.5439906476067</v>
      </c>
      <c r="BW12" s="1">
        <f t="shared" si="61"/>
        <v>2950.7385507411304</v>
      </c>
      <c r="BX12" s="1">
        <f t="shared" si="61"/>
        <v>2921.2311652337189</v>
      </c>
      <c r="BY12" s="1">
        <f t="shared" si="61"/>
        <v>2892.0188535813818</v>
      </c>
      <c r="BZ12" s="1">
        <f t="shared" si="61"/>
        <v>2863.0986650455679</v>
      </c>
      <c r="CA12" s="1">
        <f t="shared" si="61"/>
        <v>2834.4676783951122</v>
      </c>
      <c r="CB12" s="1">
        <f t="shared" si="61"/>
        <v>2806.1230016111613</v>
      </c>
      <c r="CC12" s="1">
        <f t="shared" si="61"/>
        <v>2778.0617715950498</v>
      </c>
      <c r="CD12" s="1">
        <f t="shared" si="61"/>
        <v>2750.2811538790993</v>
      </c>
      <c r="CE12" s="1">
        <f t="shared" si="61"/>
        <v>2722.7783423403084</v>
      </c>
      <c r="CF12" s="1">
        <f t="shared" si="61"/>
        <v>2695.5505589169052</v>
      </c>
      <c r="CG12" s="1">
        <f t="shared" si="61"/>
        <v>2668.595053327736</v>
      </c>
      <c r="CH12" s="1">
        <f t="shared" si="61"/>
        <v>2641.9091027944587</v>
      </c>
      <c r="CI12" s="1">
        <f t="shared" si="61"/>
        <v>2615.4900117665143</v>
      </c>
      <c r="CJ12" s="1">
        <f t="shared" si="61"/>
        <v>2589.3351116488493</v>
      </c>
      <c r="CK12" s="1">
        <f t="shared" si="61"/>
        <v>2563.4417605323606</v>
      </c>
      <c r="CL12" s="1">
        <f t="shared" si="61"/>
        <v>2537.8073429270371</v>
      </c>
      <c r="CM12" s="1">
        <f t="shared" si="61"/>
        <v>2512.4292694977667</v>
      </c>
      <c r="CN12" s="1">
        <f t="shared" si="61"/>
        <v>2487.304976802789</v>
      </c>
      <c r="CO12" s="1">
        <f t="shared" si="61"/>
        <v>2462.431927034761</v>
      </c>
      <c r="CP12" s="1">
        <f t="shared" si="61"/>
        <v>2437.8076077644132</v>
      </c>
      <c r="CQ12" s="1">
        <f t="shared" si="61"/>
        <v>2413.4295316867692</v>
      </c>
      <c r="CR12" s="1">
        <f t="shared" si="61"/>
        <v>2389.2952363699014</v>
      </c>
      <c r="CS12" s="1">
        <f t="shared" si="61"/>
        <v>2365.4022840062025</v>
      </c>
      <c r="CT12" s="1">
        <f t="shared" si="61"/>
        <v>2341.7482611661403</v>
      </c>
      <c r="CU12" s="1">
        <f t="shared" si="61"/>
        <v>2318.3307785544789</v>
      </c>
      <c r="CV12" s="1">
        <f t="shared" si="61"/>
        <v>2295.147470768934</v>
      </c>
      <c r="CW12" s="1">
        <f t="shared" si="61"/>
        <v>2272.1959960612448</v>
      </c>
      <c r="CX12" s="1">
        <f t="shared" si="61"/>
        <v>2249.4740361006325</v>
      </c>
      <c r="CY12" s="1">
        <f t="shared" si="61"/>
        <v>2226.9792957396262</v>
      </c>
      <c r="CZ12" s="1">
        <f t="shared" si="61"/>
        <v>2204.7095027822297</v>
      </c>
      <c r="DA12" s="1">
        <f t="shared" si="61"/>
        <v>2182.6624077544075</v>
      </c>
      <c r="DB12" s="1">
        <f t="shared" si="61"/>
        <v>2160.8357836768632</v>
      </c>
      <c r="DC12" s="1">
        <f t="shared" si="61"/>
        <v>2139.2274258400944</v>
      </c>
      <c r="DD12" s="1">
        <f t="shared" si="61"/>
        <v>2117.8351515816935</v>
      </c>
      <c r="DE12" s="1">
        <f t="shared" si="61"/>
        <v>2096.6568000658767</v>
      </c>
      <c r="DF12" s="1">
        <f t="shared" si="61"/>
        <v>2075.690232065218</v>
      </c>
      <c r="DG12" s="1">
        <f t="shared" ref="DG12:EP12" si="62">+DF12*(1+$AV$17)</f>
        <v>2054.933329744566</v>
      </c>
      <c r="DH12" s="1">
        <f t="shared" si="62"/>
        <v>2034.3839964471204</v>
      </c>
      <c r="DI12" s="1">
        <f t="shared" si="62"/>
        <v>2014.0401564826491</v>
      </c>
      <c r="DJ12" s="1">
        <f t="shared" si="62"/>
        <v>1993.8997549178225</v>
      </c>
      <c r="DK12" s="1">
        <f t="shared" si="62"/>
        <v>1973.9607573686442</v>
      </c>
      <c r="DL12" s="1">
        <f t="shared" si="62"/>
        <v>1954.2211497949577</v>
      </c>
      <c r="DM12" s="1">
        <f t="shared" si="62"/>
        <v>1934.678938297008</v>
      </c>
      <c r="DN12" s="1">
        <f t="shared" si="62"/>
        <v>1915.3321489140378</v>
      </c>
      <c r="DO12" s="1">
        <f t="shared" si="62"/>
        <v>1896.1788274248975</v>
      </c>
      <c r="DP12" s="1">
        <f t="shared" si="62"/>
        <v>1877.2170391506484</v>
      </c>
      <c r="DQ12" s="1">
        <f t="shared" si="62"/>
        <v>1858.4448687591419</v>
      </c>
      <c r="DR12" s="1">
        <f t="shared" si="62"/>
        <v>1839.8604200715504</v>
      </c>
      <c r="DS12" s="1">
        <f t="shared" si="62"/>
        <v>1821.4618158708349</v>
      </c>
      <c r="DT12" s="1">
        <f t="shared" si="62"/>
        <v>1803.2471977121265</v>
      </c>
      <c r="DU12" s="1">
        <f t="shared" si="62"/>
        <v>1785.2147257350052</v>
      </c>
      <c r="DV12" s="1">
        <f t="shared" si="62"/>
        <v>1767.3625784776552</v>
      </c>
      <c r="DW12" s="1">
        <f t="shared" si="62"/>
        <v>1749.6889526928787</v>
      </c>
      <c r="DX12" s="1">
        <f t="shared" si="62"/>
        <v>1732.19206316595</v>
      </c>
      <c r="DY12" s="1">
        <f t="shared" si="62"/>
        <v>1714.8701425342904</v>
      </c>
      <c r="DZ12" s="1">
        <f t="shared" si="62"/>
        <v>1697.7214411089474</v>
      </c>
      <c r="EA12" s="1">
        <f t="shared" si="62"/>
        <v>1680.7442266978578</v>
      </c>
      <c r="EB12" s="1">
        <f t="shared" si="62"/>
        <v>1663.9367844308792</v>
      </c>
      <c r="EC12" s="1">
        <f t="shared" si="62"/>
        <v>1647.2974165865705</v>
      </c>
      <c r="ED12" s="1">
        <f t="shared" si="62"/>
        <v>1630.8244424207048</v>
      </c>
      <c r="EE12" s="1">
        <f t="shared" si="62"/>
        <v>1614.5161979964978</v>
      </c>
      <c r="EF12" s="1">
        <f t="shared" si="62"/>
        <v>1598.3710360165328</v>
      </c>
      <c r="EG12" s="1">
        <f t="shared" si="62"/>
        <v>1582.3873256563675</v>
      </c>
      <c r="EH12" s="1">
        <f t="shared" si="62"/>
        <v>1566.5634523998037</v>
      </c>
      <c r="EI12" s="1">
        <f t="shared" si="62"/>
        <v>1550.8978178758057</v>
      </c>
      <c r="EJ12" s="1">
        <f t="shared" si="62"/>
        <v>1535.3888396970476</v>
      </c>
      <c r="EK12" s="1">
        <f t="shared" si="62"/>
        <v>1520.0349513000772</v>
      </c>
      <c r="EL12" s="1">
        <f t="shared" si="62"/>
        <v>1504.8346017870765</v>
      </c>
      <c r="EM12" s="1">
        <f t="shared" si="62"/>
        <v>1489.7862557692058</v>
      </c>
      <c r="EN12" s="1">
        <f t="shared" si="62"/>
        <v>1474.8883932115136</v>
      </c>
      <c r="EO12" s="1">
        <f t="shared" si="62"/>
        <v>1460.1395092793985</v>
      </c>
      <c r="EP12" s="1">
        <f t="shared" si="62"/>
        <v>1445.5381141866044</v>
      </c>
    </row>
    <row r="13" spans="1:146" s="4" customFormat="1" x14ac:dyDescent="0.2">
      <c r="A13" s="4" t="s">
        <v>9</v>
      </c>
      <c r="B13" s="4">
        <f t="shared" ref="B13" si="63">+B12/B14</f>
        <v>0.45531826663902153</v>
      </c>
      <c r="C13" s="4">
        <f t="shared" ref="C13" si="64">+C12/C14</f>
        <v>0.53911599916995279</v>
      </c>
      <c r="D13" s="4">
        <f t="shared" ref="D13:E13" si="65">+D12/D14</f>
        <v>0.42057237660721647</v>
      </c>
      <c r="E13" s="4">
        <f t="shared" si="65"/>
        <v>0.28763998340937386</v>
      </c>
      <c r="F13" s="4">
        <f t="shared" ref="F13:G13" si="66">+F12/F14</f>
        <v>-0.17443740551259349</v>
      </c>
      <c r="G13" s="4">
        <f t="shared" si="66"/>
        <v>0.89253025005632303</v>
      </c>
      <c r="H13" s="4">
        <f t="shared" ref="H13:O13" si="67">+H12/H14</f>
        <v>0.70325496120175668</v>
      </c>
      <c r="I13" s="4">
        <f t="shared" si="67"/>
        <v>6.3518978715111196E-2</v>
      </c>
      <c r="J13" s="4">
        <f t="shared" si="67"/>
        <v>0.66991949193339173</v>
      </c>
      <c r="K13" s="4">
        <f t="shared" si="67"/>
        <v>0.59957528312861141</v>
      </c>
      <c r="L13" s="4">
        <f t="shared" si="67"/>
        <v>0.6488687952551605</v>
      </c>
      <c r="M13" s="4">
        <f t="shared" si="67"/>
        <v>-1.2121235036904181</v>
      </c>
      <c r="N13" s="4">
        <f t="shared" si="67"/>
        <v>0.97177086105724608</v>
      </c>
      <c r="O13" s="4">
        <f t="shared" si="67"/>
        <v>0.58954103668826119</v>
      </c>
      <c r="T13" s="4">
        <f t="shared" ref="T13:U13" si="68">+T12/T14</f>
        <v>1.0539355130231476</v>
      </c>
      <c r="U13" s="4">
        <f t="shared" si="68"/>
        <v>0.29333548668213022</v>
      </c>
      <c r="V13" s="4">
        <f t="shared" ref="V13:W13" si="69">+V12/V14</f>
        <v>1.3108615396664665</v>
      </c>
      <c r="W13" s="4">
        <f t="shared" si="69"/>
        <v>1.8348178833484092</v>
      </c>
      <c r="X13" s="4">
        <f t="shared" ref="X13:Y13" si="70">+X12/X14</f>
        <v>1.1585470439009147</v>
      </c>
      <c r="Y13" s="4">
        <f t="shared" si="70"/>
        <v>1.732098767565607</v>
      </c>
      <c r="Z13" s="4">
        <f t="shared" ref="Z13:AA13" si="71">+Z12/Z14</f>
        <v>3.4037265931825575</v>
      </c>
      <c r="AA13" s="4">
        <f t="shared" si="71"/>
        <v>1.7025821839676469</v>
      </c>
      <c r="AB13" s="4">
        <f t="shared" ref="AB13:AD13" si="72">+AB12/AB14</f>
        <v>1.4826032428131091</v>
      </c>
      <c r="AC13" s="4">
        <f t="shared" si="72"/>
        <v>0.70578215914214737</v>
      </c>
      <c r="AD13" s="4">
        <f t="shared" si="72"/>
        <v>1.2144351464435141</v>
      </c>
      <c r="AE13" s="4">
        <f t="shared" ref="AE13:AS13" si="73">+AE12/AE14</f>
        <v>1.4988146234309612</v>
      </c>
      <c r="AF13" s="4">
        <f t="shared" si="73"/>
        <v>1.8042830133891221</v>
      </c>
      <c r="AG13" s="4">
        <f t="shared" si="73"/>
        <v>2.1320483975585787</v>
      </c>
      <c r="AH13" s="4">
        <f t="shared" si="73"/>
        <v>2.4833840402142711</v>
      </c>
      <c r="AI13" s="4">
        <f t="shared" si="73"/>
        <v>2.8596320622918023</v>
      </c>
      <c r="AJ13" s="4">
        <f t="shared" si="73"/>
        <v>3.2622073430732601</v>
      </c>
      <c r="AK13" s="4">
        <f t="shared" si="73"/>
        <v>3.6926016655806184</v>
      </c>
      <c r="AL13" s="4">
        <f t="shared" si="73"/>
        <v>4.1523881224794748</v>
      </c>
      <c r="AM13" s="4">
        <f t="shared" si="73"/>
        <v>4.6432258005393061</v>
      </c>
      <c r="AN13" s="4">
        <f t="shared" si="73"/>
        <v>5.1668647630357905</v>
      </c>
      <c r="AO13" s="4">
        <f t="shared" si="73"/>
        <v>5.7251513509234329</v>
      </c>
      <c r="AP13" s="4">
        <f t="shared" si="73"/>
        <v>6.3200338251609649</v>
      </c>
      <c r="AQ13" s="4">
        <f t="shared" si="73"/>
        <v>6.9535683742465686</v>
      </c>
      <c r="AR13" s="4">
        <f t="shared" si="73"/>
        <v>7.62792551282425</v>
      </c>
      <c r="AS13" s="4">
        <f t="shared" si="73"/>
        <v>8.3453968991671061</v>
      </c>
    </row>
    <row r="14" spans="1:146" x14ac:dyDescent="0.2">
      <c r="A14" s="1" t="s">
        <v>10</v>
      </c>
      <c r="B14" s="1">
        <v>482.3</v>
      </c>
      <c r="C14" s="1">
        <v>481.9</v>
      </c>
      <c r="D14" s="1">
        <v>482.2</v>
      </c>
      <c r="E14" s="1">
        <v>482.2</v>
      </c>
      <c r="F14" s="1">
        <f>584.219229-104.964222</f>
        <v>479.25500700000003</v>
      </c>
      <c r="G14" s="1">
        <f>584.219229-107.596728</f>
        <v>476.62250100000006</v>
      </c>
      <c r="H14" s="1">
        <f>584.219229-106.15648</f>
        <v>478.06274900000005</v>
      </c>
      <c r="I14" s="1">
        <f>584.219229-107.196446</f>
        <v>477.02278300000006</v>
      </c>
      <c r="J14" s="1">
        <f>584.219229-106.251348</f>
        <v>477.96788100000003</v>
      </c>
      <c r="K14" s="1">
        <f>584.219229-106.214201</f>
        <v>478.00502800000004</v>
      </c>
      <c r="L14" s="1">
        <f>584.219229-106.15648</f>
        <v>478.06274900000005</v>
      </c>
      <c r="M14" s="1">
        <f>584.219229-106.050133</f>
        <v>478.16909600000002</v>
      </c>
      <c r="N14" s="1">
        <f>584.219229-106.946223</f>
        <v>477.27300600000001</v>
      </c>
      <c r="O14" s="1">
        <f>584.219229-106.898767</f>
        <v>477.32046200000002</v>
      </c>
      <c r="R14" s="3">
        <f>+(AC14/T14)^(1/$S$11)-1</f>
        <v>1.1072529073573145E-2</v>
      </c>
      <c r="T14" s="1">
        <f>567.907172-139.702605</f>
        <v>428.20456699999994</v>
      </c>
      <c r="U14" s="1">
        <f>567.907172-129.842206</f>
        <v>438.06496599999991</v>
      </c>
      <c r="V14" s="1">
        <f>567.907172-151.387209</f>
        <v>416.51996299999996</v>
      </c>
      <c r="W14" s="1">
        <f>567.907172-177.078193</f>
        <v>390.82897899999995</v>
      </c>
      <c r="X14" s="1">
        <f>584.219229-97.057311</f>
        <v>487.16191800000001</v>
      </c>
      <c r="Y14" s="1">
        <f>584.219229-103.934839</f>
        <v>480.28439000000003</v>
      </c>
      <c r="Z14" s="1">
        <f>584.219229-104.157169</f>
        <v>480.06206000000003</v>
      </c>
      <c r="AA14" s="1">
        <f>+AVERAGE(B14:E14)</f>
        <v>482.15000000000003</v>
      </c>
      <c r="AB14" s="1">
        <f>+AVERAGE(F14:I14)</f>
        <v>477.74076000000008</v>
      </c>
      <c r="AC14" s="1">
        <f>+AVERAGE(J14:M14)</f>
        <v>478.05118850000008</v>
      </c>
      <c r="AD14" s="1">
        <v>478</v>
      </c>
      <c r="AE14" s="1">
        <v>478</v>
      </c>
      <c r="AF14" s="1">
        <v>478</v>
      </c>
      <c r="AG14" s="1">
        <v>478</v>
      </c>
      <c r="AH14" s="1">
        <v>478</v>
      </c>
      <c r="AI14" s="1">
        <v>478</v>
      </c>
      <c r="AJ14" s="1">
        <v>478</v>
      </c>
      <c r="AK14" s="1">
        <v>478</v>
      </c>
      <c r="AL14" s="1">
        <v>478</v>
      </c>
      <c r="AM14" s="1">
        <v>478</v>
      </c>
      <c r="AN14" s="1">
        <v>478</v>
      </c>
      <c r="AO14" s="1">
        <v>478</v>
      </c>
      <c r="AP14" s="1">
        <v>478</v>
      </c>
      <c r="AQ14" s="1">
        <v>478</v>
      </c>
      <c r="AR14" s="1">
        <v>478</v>
      </c>
      <c r="AS14" s="1">
        <v>478</v>
      </c>
    </row>
    <row r="16" spans="1:146" s="3" customFormat="1" x14ac:dyDescent="0.2">
      <c r="A16" s="3" t="s">
        <v>11</v>
      </c>
      <c r="B16" s="3">
        <f t="shared" ref="B16" si="74">+B5/B3</f>
        <v>0.25379715825575699</v>
      </c>
      <c r="C16" s="3">
        <f t="shared" ref="C16" si="75">+C5/C3</f>
        <v>0.24675536957729907</v>
      </c>
      <c r="D16" s="3">
        <f t="shared" ref="D16:E16" si="76">+D5/D3</f>
        <v>0.23928338538627858</v>
      </c>
      <c r="E16" s="3">
        <f t="shared" si="76"/>
        <v>0.24515463917525776</v>
      </c>
      <c r="F16" s="3">
        <f t="shared" ref="F16:G16" si="77">+F5/F3</f>
        <v>0.24801156905278385</v>
      </c>
      <c r="G16" s="3">
        <f t="shared" si="77"/>
        <v>0.27839657098010812</v>
      </c>
      <c r="H16" s="3">
        <f t="shared" ref="H16:O16" si="78">+H5/H3</f>
        <v>0.2717641341325126</v>
      </c>
      <c r="I16" s="3">
        <f t="shared" si="78"/>
        <v>0.26347829011536006</v>
      </c>
      <c r="J16" s="3">
        <f t="shared" si="78"/>
        <v>0.28343663911845729</v>
      </c>
      <c r="K16" s="3">
        <f t="shared" si="78"/>
        <v>0.26389451700383404</v>
      </c>
      <c r="L16" s="3">
        <f t="shared" si="78"/>
        <v>0.28316133073955624</v>
      </c>
      <c r="M16" s="3">
        <f t="shared" si="78"/>
        <v>0.27698819642795691</v>
      </c>
      <c r="N16" s="3">
        <f t="shared" si="78"/>
        <v>0.26451751404343632</v>
      </c>
      <c r="O16" s="3">
        <f t="shared" si="78"/>
        <v>0.26499953053112574</v>
      </c>
      <c r="T16" s="3">
        <f t="shared" ref="T16:U16" si="79">+T5/T3</f>
        <v>0.25417312375470441</v>
      </c>
      <c r="U16" s="3">
        <f t="shared" si="79"/>
        <v>0.28037534192818647</v>
      </c>
      <c r="V16" s="3">
        <f t="shared" ref="V16:W16" si="80">+V5/V3</f>
        <v>0.29923724590834166</v>
      </c>
      <c r="W16" s="3">
        <f t="shared" si="80"/>
        <v>0.29622211304687401</v>
      </c>
      <c r="X16" s="3">
        <f t="shared" ref="X16:Y16" si="81">+X5/X3</f>
        <v>0.27813889121865304</v>
      </c>
      <c r="Y16" s="3">
        <f t="shared" si="81"/>
        <v>0.27768128528006941</v>
      </c>
      <c r="Z16" s="3">
        <f t="shared" ref="Z16:AA16" si="82">+Z5/Z3</f>
        <v>0.28424544243475469</v>
      </c>
      <c r="AA16" s="3">
        <f t="shared" si="82"/>
        <v>0.24608396397333548</v>
      </c>
      <c r="AB16" s="3">
        <f t="shared" ref="AB16:AC16" si="83">+AB5/AB3</f>
        <v>0.26592815834487249</v>
      </c>
      <c r="AC16" s="3">
        <f t="shared" si="83"/>
        <v>0.27661004572272607</v>
      </c>
      <c r="AD16" s="3">
        <f t="shared" ref="AD16:AS16" si="84">+AD5/AD3</f>
        <v>0.27661004572272607</v>
      </c>
      <c r="AE16" s="3">
        <f t="shared" si="84"/>
        <v>0.28363324916231125</v>
      </c>
      <c r="AF16" s="3">
        <f t="shared" si="84"/>
        <v>0.29058826616073546</v>
      </c>
      <c r="AG16" s="3">
        <f t="shared" si="84"/>
        <v>0.29747575872228177</v>
      </c>
      <c r="AH16" s="3">
        <f t="shared" si="84"/>
        <v>0.30429638242400725</v>
      </c>
      <c r="AI16" s="3">
        <f t="shared" si="84"/>
        <v>0.31105078647814316</v>
      </c>
      <c r="AJ16" s="3">
        <f t="shared" si="84"/>
        <v>0.31773961379388937</v>
      </c>
      <c r="AK16" s="3">
        <f t="shared" si="84"/>
        <v>0.32436350103860889</v>
      </c>
      <c r="AL16" s="3">
        <f t="shared" si="84"/>
        <v>0.33092307869842824</v>
      </c>
      <c r="AM16" s="3">
        <f t="shared" si="84"/>
        <v>0.33741897113824937</v>
      </c>
      <c r="AN16" s="3">
        <f t="shared" si="84"/>
        <v>0.34385179666117899</v>
      </c>
      <c r="AO16" s="3">
        <f t="shared" si="84"/>
        <v>0.35022216756738117</v>
      </c>
      <c r="AP16" s="3">
        <f t="shared" si="84"/>
        <v>0.35653069021235795</v>
      </c>
      <c r="AQ16" s="3">
        <f t="shared" si="84"/>
        <v>0.36277796506466509</v>
      </c>
      <c r="AR16" s="3">
        <f t="shared" si="84"/>
        <v>0.36896458676306637</v>
      </c>
      <c r="AS16" s="3">
        <f t="shared" si="84"/>
        <v>0.37509114417313377</v>
      </c>
      <c r="AU16" s="3" t="s">
        <v>135</v>
      </c>
      <c r="AV16" s="3">
        <v>0.04</v>
      </c>
    </row>
    <row r="17" spans="1:48" s="3" customFormat="1" x14ac:dyDescent="0.2">
      <c r="A17" s="3" t="s">
        <v>12</v>
      </c>
      <c r="B17" s="3">
        <f>+B7/B3</f>
        <v>0.13692383070139075</v>
      </c>
      <c r="C17" s="3">
        <f t="shared" ref="C17" si="85">+C7/C3</f>
        <v>0.13383896171826479</v>
      </c>
      <c r="D17" s="3">
        <f>+D7/D3</f>
        <v>0.12327967875896621</v>
      </c>
      <c r="E17" s="3">
        <f>+E7/E3</f>
        <v>7.357388316151206E-2</v>
      </c>
      <c r="F17" s="3">
        <f>+F7/F3</f>
        <v>-7.3339531040181247E-3</v>
      </c>
      <c r="G17" s="3">
        <f t="shared" ref="G17" si="86">+G7/G3</f>
        <v>0.16589694829303636</v>
      </c>
      <c r="H17" s="3">
        <f t="shared" ref="H17:O17" si="87">+H7/H3</f>
        <v>0.15875587234731903</v>
      </c>
      <c r="I17" s="3">
        <f t="shared" si="87"/>
        <v>1.9170618504691792E-2</v>
      </c>
      <c r="J17" s="3">
        <f t="shared" si="87"/>
        <v>0.16838842975206608</v>
      </c>
      <c r="K17" s="3">
        <f t="shared" si="87"/>
        <v>0.1398023752376796</v>
      </c>
      <c r="L17" s="3">
        <f t="shared" si="87"/>
        <v>0.15542879752052496</v>
      </c>
      <c r="M17" s="3">
        <f t="shared" si="87"/>
        <v>-0.19136928318249075</v>
      </c>
      <c r="N17" s="3">
        <f t="shared" si="87"/>
        <v>0.14369029303374009</v>
      </c>
      <c r="O17" s="3">
        <f t="shared" si="87"/>
        <v>0.12600544583894083</v>
      </c>
      <c r="T17" s="3">
        <f t="shared" ref="T17:U17" si="88">+T7/T3</f>
        <v>0.10104051361523132</v>
      </c>
      <c r="U17" s="3">
        <f t="shared" si="88"/>
        <v>4.6698445308803085E-2</v>
      </c>
      <c r="V17" s="3">
        <f t="shared" ref="V17:W17" si="89">+V7/V3</f>
        <v>0.11818216663046667</v>
      </c>
      <c r="W17" s="3">
        <f t="shared" si="89"/>
        <v>0.12006348966403385</v>
      </c>
      <c r="X17" s="3">
        <f t="shared" ref="X17:Y17" si="90">+X7/X3</f>
        <v>0.12366853979703095</v>
      </c>
      <c r="Y17" s="3">
        <f t="shared" si="90"/>
        <v>0.13090715009408013</v>
      </c>
      <c r="Z17" s="3">
        <f t="shared" ref="Z17:AA17" si="91">+Z7/Z3</f>
        <v>0.15880622636279923</v>
      </c>
      <c r="AA17" s="3">
        <f t="shared" si="91"/>
        <v>0.11667923612375289</v>
      </c>
      <c r="AB17" s="3">
        <f t="shared" ref="AB17:AC17" si="92">+AB7/AB3</f>
        <v>8.7586543943960191E-2</v>
      </c>
      <c r="AC17" s="3">
        <f t="shared" si="92"/>
        <v>7.0766498767726865E-2</v>
      </c>
      <c r="AD17" s="3">
        <f t="shared" ref="AD17:AS17" si="93">+AD7/AD3</f>
        <v>7.0766498767726865E-2</v>
      </c>
      <c r="AE17" s="3">
        <f t="shared" si="93"/>
        <v>7.9788183245710076E-2</v>
      </c>
      <c r="AF17" s="3">
        <f t="shared" si="93"/>
        <v>8.8722278554004233E-2</v>
      </c>
      <c r="AG17" s="3">
        <f t="shared" si="93"/>
        <v>9.7569635072897426E-2</v>
      </c>
      <c r="AH17" s="3">
        <f t="shared" si="93"/>
        <v>0.10633109492655868</v>
      </c>
      <c r="AI17" s="3">
        <f t="shared" si="93"/>
        <v>0.11500749206319408</v>
      </c>
      <c r="AJ17" s="3">
        <f t="shared" si="93"/>
        <v>0.12359965233442526</v>
      </c>
      <c r="AK17" s="3">
        <f t="shared" si="93"/>
        <v>0.13210839357389687</v>
      </c>
      <c r="AL17" s="3">
        <f t="shared" si="93"/>
        <v>0.1405345256751212</v>
      </c>
      <c r="AM17" s="3">
        <f t="shared" si="93"/>
        <v>0.14887885066856665</v>
      </c>
      <c r="AN17" s="3">
        <f t="shared" si="93"/>
        <v>0.15714216279799806</v>
      </c>
      <c r="AO17" s="3">
        <f t="shared" si="93"/>
        <v>0.16532524859607575</v>
      </c>
      <c r="AP17" s="3">
        <f t="shared" si="93"/>
        <v>0.17342888695922057</v>
      </c>
      <c r="AQ17" s="3">
        <f t="shared" si="93"/>
        <v>0.18145384922175231</v>
      </c>
      <c r="AR17" s="3">
        <f t="shared" si="93"/>
        <v>0.18940089922930811</v>
      </c>
      <c r="AS17" s="3">
        <f t="shared" si="93"/>
        <v>0.19727079341154791</v>
      </c>
      <c r="AU17" s="3" t="s">
        <v>137</v>
      </c>
      <c r="AV17" s="3">
        <v>-0.01</v>
      </c>
    </row>
    <row r="18" spans="1:48" s="3" customFormat="1" x14ac:dyDescent="0.2">
      <c r="A18" s="3" t="s">
        <v>13</v>
      </c>
      <c r="B18" s="3">
        <f t="shared" ref="B18" si="94">+B12/B3</f>
        <v>8.2764858855010767E-2</v>
      </c>
      <c r="C18" s="3">
        <f t="shared" ref="C18" si="95">+C12/C3</f>
        <v>8.4932492072313653E-2</v>
      </c>
      <c r="D18" s="3">
        <f t="shared" ref="D18:E18" si="96">+D12/D3</f>
        <v>6.9602223976387337E-2</v>
      </c>
      <c r="E18" s="3">
        <f t="shared" si="96"/>
        <v>4.7663230240549852E-2</v>
      </c>
      <c r="F18" s="3">
        <f t="shared" ref="F18:G18" si="97">+F12/F3</f>
        <v>-2.8784905140653457E-2</v>
      </c>
      <c r="G18" s="3">
        <f t="shared" si="97"/>
        <v>0.12840713574209911</v>
      </c>
      <c r="H18" s="3">
        <f t="shared" ref="H18:O18" si="98">+H12/H3</f>
        <v>0.108925967924834</v>
      </c>
      <c r="I18" s="3">
        <f t="shared" si="98"/>
        <v>1.0190697205125655E-2</v>
      </c>
      <c r="J18" s="3">
        <f t="shared" si="98"/>
        <v>0.11026170798898068</v>
      </c>
      <c r="K18" s="3">
        <f t="shared" si="98"/>
        <v>8.9336367320220642E-2</v>
      </c>
      <c r="L18" s="3">
        <f t="shared" si="98"/>
        <v>0.10227834745623007</v>
      </c>
      <c r="M18" s="3">
        <f t="shared" si="98"/>
        <v>-0.19945627860559548</v>
      </c>
      <c r="N18" s="3">
        <f t="shared" si="98"/>
        <v>0.16594511431536019</v>
      </c>
      <c r="O18" s="3">
        <f t="shared" si="98"/>
        <v>8.8072360802478739E-2</v>
      </c>
      <c r="T18" s="3">
        <f t="shared" ref="T18:U18" si="99">+T12/T3</f>
        <v>4.9955722824883746E-2</v>
      </c>
      <c r="U18" s="3">
        <f t="shared" si="99"/>
        <v>1.4831315428030701E-2</v>
      </c>
      <c r="V18" s="3">
        <f t="shared" ref="V18:W18" si="100">+V12/V3</f>
        <v>6.9759419438091649E-2</v>
      </c>
      <c r="W18" s="3">
        <f t="shared" si="100"/>
        <v>9.0334202537067101E-2</v>
      </c>
      <c r="X18" s="3">
        <f t="shared" ref="X18:Y18" si="101">+X12/X3</f>
        <v>5.9171349492577359E-2</v>
      </c>
      <c r="Y18" s="3">
        <f t="shared" si="101"/>
        <v>7.5255102040816271E-2</v>
      </c>
      <c r="Z18" s="3">
        <f t="shared" ref="Z18:AA18" si="102">+Z12/Z3</f>
        <v>0.14609242983718834</v>
      </c>
      <c r="AA18" s="3">
        <f t="shared" si="102"/>
        <v>7.1160464289739073E-2</v>
      </c>
      <c r="AB18" s="3">
        <f t="shared" ref="AB18:AC18" si="103">+AB12/AB3</f>
        <v>5.7693247536042956E-2</v>
      </c>
      <c r="AC18" s="3">
        <f t="shared" si="103"/>
        <v>2.7997908869876919E-2</v>
      </c>
      <c r="AD18" s="3">
        <f t="shared" ref="AD18:AS18" si="104">+AD12/AD3</f>
        <v>4.8170676049091754E-2</v>
      </c>
      <c r="AE18" s="3">
        <f t="shared" si="104"/>
        <v>5.7719041570194085E-2</v>
      </c>
      <c r="AF18" s="3">
        <f t="shared" si="104"/>
        <v>6.745880211009736E-2</v>
      </c>
      <c r="AG18" s="3">
        <f t="shared" si="104"/>
        <v>7.7391595266537369E-2</v>
      </c>
      <c r="AH18" s="3">
        <f t="shared" si="104"/>
        <v>8.7519212437359606E-2</v>
      </c>
      <c r="AI18" s="3">
        <f t="shared" si="104"/>
        <v>9.7843605565135078E-2</v>
      </c>
      <c r="AJ18" s="3">
        <f t="shared" si="104"/>
        <v>0.10836689421618943</v>
      </c>
      <c r="AK18" s="3">
        <f t="shared" si="104"/>
        <v>0.11909137301020956</v>
      </c>
      <c r="AL18" s="3">
        <f t="shared" si="104"/>
        <v>0.13001951941737988</v>
      </c>
      <c r="AM18" s="3">
        <f t="shared" si="104"/>
        <v>0.14115400194082203</v>
      </c>
      <c r="AN18" s="3">
        <f t="shared" si="104"/>
        <v>0.15249768870297625</v>
      </c>
      <c r="AO18" s="3">
        <f t="shared" si="104"/>
        <v>0.16405365645546818</v>
      </c>
      <c r="AP18" s="3">
        <f t="shared" si="104"/>
        <v>0.17582520003295307</v>
      </c>
      <c r="AQ18" s="3">
        <f t="shared" si="104"/>
        <v>0.18781584227242684</v>
      </c>
      <c r="AR18" s="3">
        <f t="shared" si="104"/>
        <v>0.20002934442053447</v>
      </c>
      <c r="AS18" s="3">
        <f t="shared" si="104"/>
        <v>0.21246971705250298</v>
      </c>
      <c r="AU18" s="3" t="s">
        <v>136</v>
      </c>
      <c r="AV18" s="3">
        <v>0.1</v>
      </c>
    </row>
    <row r="19" spans="1:48" s="3" customFormat="1" x14ac:dyDescent="0.2">
      <c r="A19" s="3" t="s">
        <v>14</v>
      </c>
      <c r="B19" s="3">
        <f t="shared" ref="B19" si="105">+B10/B9</f>
        <v>0.25901151988108501</v>
      </c>
      <c r="C19" s="3">
        <f t="shared" ref="C19" si="106">+C10/C9</f>
        <v>0.26772655007949109</v>
      </c>
      <c r="D19" s="3">
        <f t="shared" ref="D19:E19" si="107">+D10/D9</f>
        <v>0.41534391534391568</v>
      </c>
      <c r="E19" s="3">
        <f t="shared" si="107"/>
        <v>0.2264631043256996</v>
      </c>
      <c r="F19" s="3">
        <f t="shared" ref="F19:G19" si="108">+F10/F9</f>
        <v>-0.12162162162162179</v>
      </c>
      <c r="G19" s="3">
        <f t="shared" si="108"/>
        <v>0.16292009793011347</v>
      </c>
      <c r="H19" s="3">
        <f t="shared" ref="H19:O19" si="109">+H10/H9</f>
        <v>0.2594608605495074</v>
      </c>
      <c r="I19" s="3">
        <f t="shared" si="109"/>
        <v>0.35882352941176554</v>
      </c>
      <c r="J19" s="3">
        <f t="shared" si="109"/>
        <v>0.25665796344647529</v>
      </c>
      <c r="K19" s="3">
        <f t="shared" si="109"/>
        <v>0.30698090692124119</v>
      </c>
      <c r="L19" s="3">
        <f t="shared" si="109"/>
        <v>0.2628117292408878</v>
      </c>
      <c r="M19" s="3">
        <f t="shared" si="109"/>
        <v>5.2360774818401942E-2</v>
      </c>
      <c r="N19" s="3">
        <f t="shared" si="109"/>
        <v>-0.46957403651115592</v>
      </c>
      <c r="O19" s="3">
        <f t="shared" si="109"/>
        <v>0.20889945652173927</v>
      </c>
      <c r="T19" s="3">
        <f t="shared" ref="T19:U19" si="110">+T10/T9</f>
        <v>0.36383852206637035</v>
      </c>
      <c r="U19" s="3">
        <f t="shared" si="110"/>
        <v>0.42647058823529094</v>
      </c>
      <c r="V19" s="3">
        <f t="shared" ref="V19:W19" si="111">+V10/V9</f>
        <v>0.34914324880054853</v>
      </c>
      <c r="W19" s="3">
        <f t="shared" si="111"/>
        <v>0.21978851963746227</v>
      </c>
      <c r="X19" s="3">
        <f t="shared" ref="X19:Y19" si="112">+X10/X9</f>
        <v>0.29068592057761738</v>
      </c>
      <c r="Y19" s="3">
        <f t="shared" si="112"/>
        <v>0.20968750000000014</v>
      </c>
      <c r="Z19" s="3">
        <f t="shared" ref="Z19:AA19" si="113">+Z10/Z9</f>
        <v>-0.14294143679008697</v>
      </c>
      <c r="AA19" s="3">
        <f t="shared" si="113"/>
        <v>0.30069350998861372</v>
      </c>
      <c r="AB19" s="3">
        <f t="shared" ref="AB19" si="114">+AB10/AB9</f>
        <v>0.25446898002103069</v>
      </c>
      <c r="AC19" s="3">
        <f>+AC10/AC9</f>
        <v>0.62159602178546103</v>
      </c>
      <c r="AD19" s="3">
        <f t="shared" ref="AD19:AS19" si="115">+AD10/AD9</f>
        <v>0.25</v>
      </c>
      <c r="AE19" s="3">
        <f t="shared" si="115"/>
        <v>0.25</v>
      </c>
      <c r="AF19" s="3">
        <f t="shared" si="115"/>
        <v>0.25</v>
      </c>
      <c r="AG19" s="3">
        <f t="shared" si="115"/>
        <v>0.25</v>
      </c>
      <c r="AH19" s="3">
        <f t="shared" si="115"/>
        <v>0.25</v>
      </c>
      <c r="AI19" s="3">
        <f t="shared" si="115"/>
        <v>0.25</v>
      </c>
      <c r="AJ19" s="3">
        <f t="shared" si="115"/>
        <v>0.25</v>
      </c>
      <c r="AK19" s="3">
        <f t="shared" si="115"/>
        <v>0.25</v>
      </c>
      <c r="AL19" s="3">
        <f t="shared" si="115"/>
        <v>0.25</v>
      </c>
      <c r="AM19" s="3">
        <f t="shared" si="115"/>
        <v>0.25</v>
      </c>
      <c r="AN19" s="3">
        <f t="shared" si="115"/>
        <v>0.25</v>
      </c>
      <c r="AO19" s="3">
        <f t="shared" si="115"/>
        <v>0.25</v>
      </c>
      <c r="AP19" s="3">
        <f t="shared" si="115"/>
        <v>0.25</v>
      </c>
      <c r="AQ19" s="3">
        <f t="shared" si="115"/>
        <v>0.25</v>
      </c>
      <c r="AR19" s="3">
        <f t="shared" si="115"/>
        <v>0.25</v>
      </c>
      <c r="AS19" s="3">
        <f t="shared" si="115"/>
        <v>0.25</v>
      </c>
      <c r="AU19" s="3" t="s">
        <v>138</v>
      </c>
      <c r="AV19" s="1">
        <f>+NPV(AV18,AD12:EP12)</f>
        <v>20335.634466073992</v>
      </c>
    </row>
    <row r="20" spans="1:48" s="3" customFormat="1" x14ac:dyDescent="0.2">
      <c r="AU20" s="3" t="s">
        <v>63</v>
      </c>
      <c r="AV20" s="1">
        <f>+Main!L6-Main!L7</f>
        <v>-8426.2000000000007</v>
      </c>
    </row>
    <row r="21" spans="1:48" s="5" customFormat="1" x14ac:dyDescent="0.2">
      <c r="A21" s="5" t="s">
        <v>15</v>
      </c>
      <c r="F21" s="5">
        <f t="shared" ref="F21:O21" si="116">+F3/B3-1</f>
        <v>9.4599178381638005E-2</v>
      </c>
      <c r="G21" s="5">
        <f t="shared" si="116"/>
        <v>8.3036385628820764E-2</v>
      </c>
      <c r="H21" s="5">
        <f t="shared" si="116"/>
        <v>5.9306036997631928E-2</v>
      </c>
      <c r="I21" s="5">
        <f t="shared" si="116"/>
        <v>2.1752577319587685E-2</v>
      </c>
      <c r="J21" s="5">
        <f t="shared" si="116"/>
        <v>-1.0329511414119974E-4</v>
      </c>
      <c r="K21" s="5">
        <f t="shared" si="116"/>
        <v>-3.1633915904494603E-2</v>
      </c>
      <c r="L21" s="5">
        <f t="shared" si="116"/>
        <v>-1.7365948485339344E-2</v>
      </c>
      <c r="M21" s="5">
        <f t="shared" si="116"/>
        <v>-2.2668415565196942E-2</v>
      </c>
      <c r="N21" s="5">
        <f t="shared" si="116"/>
        <v>-3.7568870523415954E-2</v>
      </c>
      <c r="O21" s="5">
        <f t="shared" si="116"/>
        <v>-4.0522427605124145E-3</v>
      </c>
      <c r="U21" s="5">
        <f t="shared" ref="U21:AC21" si="117">+U3/T3-1</f>
        <v>-4.0945317688731442E-2</v>
      </c>
      <c r="V21" s="5">
        <f t="shared" si="117"/>
        <v>-9.6628616936554335E-2</v>
      </c>
      <c r="W21" s="5">
        <f t="shared" si="117"/>
        <v>1.4232965797442265E-2</v>
      </c>
      <c r="X21" s="5">
        <f t="shared" si="117"/>
        <v>0.20156708615194674</v>
      </c>
      <c r="Y21" s="5">
        <f t="shared" si="117"/>
        <v>0.15893650926780167</v>
      </c>
      <c r="Z21" s="5">
        <f t="shared" si="117"/>
        <v>1.1787161673179947E-2</v>
      </c>
      <c r="AA21" s="5">
        <f t="shared" si="117"/>
        <v>3.1400037551297721E-2</v>
      </c>
      <c r="AB21" s="5">
        <f t="shared" si="117"/>
        <v>6.424292859681513E-2</v>
      </c>
      <c r="AC21" s="5">
        <f t="shared" si="117"/>
        <v>-1.84165512747414E-2</v>
      </c>
      <c r="AD21" s="5">
        <f t="shared" ref="AD21:AS21" si="118">+AD3/AC3-1</f>
        <v>0</v>
      </c>
      <c r="AE21" s="5">
        <f t="shared" si="118"/>
        <v>3.0000000000000027E-2</v>
      </c>
      <c r="AF21" s="5">
        <f t="shared" si="118"/>
        <v>3.0000000000000027E-2</v>
      </c>
      <c r="AG21" s="5">
        <f t="shared" si="118"/>
        <v>3.0000000000000027E-2</v>
      </c>
      <c r="AH21" s="5">
        <f t="shared" si="118"/>
        <v>3.0000000000000027E-2</v>
      </c>
      <c r="AI21" s="5">
        <f t="shared" si="118"/>
        <v>3.0000000000000027E-2</v>
      </c>
      <c r="AJ21" s="5">
        <f t="shared" si="118"/>
        <v>3.0000000000000027E-2</v>
      </c>
      <c r="AK21" s="5">
        <f t="shared" si="118"/>
        <v>3.0000000000000027E-2</v>
      </c>
      <c r="AL21" s="5">
        <f t="shared" si="118"/>
        <v>3.0000000000000027E-2</v>
      </c>
      <c r="AM21" s="5">
        <f t="shared" si="118"/>
        <v>3.0000000000000027E-2</v>
      </c>
      <c r="AN21" s="5">
        <f t="shared" si="118"/>
        <v>3.0000000000000027E-2</v>
      </c>
      <c r="AO21" s="5">
        <f t="shared" si="118"/>
        <v>3.0000000000000027E-2</v>
      </c>
      <c r="AP21" s="5">
        <f t="shared" si="118"/>
        <v>3.0000000000000027E-2</v>
      </c>
      <c r="AQ21" s="5">
        <f t="shared" si="118"/>
        <v>3.0000000000000027E-2</v>
      </c>
      <c r="AR21" s="5">
        <f t="shared" si="118"/>
        <v>3.0000000000000027E-2</v>
      </c>
      <c r="AS21" s="5">
        <f t="shared" si="118"/>
        <v>3.0000000000000027E-2</v>
      </c>
      <c r="AU21" s="3" t="s">
        <v>139</v>
      </c>
      <c r="AV21" s="1">
        <f>+AV19+AV20</f>
        <v>11909.434466073992</v>
      </c>
    </row>
    <row r="22" spans="1:48" s="5" customFormat="1" x14ac:dyDescent="0.2">
      <c r="AU22" s="3" t="s">
        <v>28</v>
      </c>
      <c r="AV22" s="4">
        <f>+AV21/Main!L4</f>
        <v>24.950605335821518</v>
      </c>
    </row>
    <row r="23" spans="1:48" s="3" customFormat="1" x14ac:dyDescent="0.2">
      <c r="A23" s="3" t="s">
        <v>108</v>
      </c>
      <c r="AC23" s="3">
        <v>0.04</v>
      </c>
      <c r="AU23" s="3" t="s">
        <v>140</v>
      </c>
      <c r="AV23" s="4">
        <v>25.82</v>
      </c>
    </row>
    <row r="24" spans="1:48" x14ac:dyDescent="0.2">
      <c r="A24" s="1" t="s">
        <v>63</v>
      </c>
      <c r="I24" s="1">
        <f t="shared" ref="I24" si="119">+I25-I34</f>
        <v>-9140.3000000000011</v>
      </c>
      <c r="J24" s="1">
        <f t="shared" ref="J24:O24" si="120">+J25-J34</f>
        <v>-9180.3000000000011</v>
      </c>
      <c r="K24" s="1">
        <f t="shared" si="120"/>
        <v>-9008.1</v>
      </c>
      <c r="L24" s="1">
        <f t="shared" si="120"/>
        <v>-8598.7999999999993</v>
      </c>
      <c r="M24" s="1">
        <f t="shared" si="120"/>
        <v>-8363.6</v>
      </c>
      <c r="N24" s="1">
        <f t="shared" si="120"/>
        <v>-8643.5</v>
      </c>
      <c r="O24" s="1">
        <f t="shared" si="120"/>
        <v>-8426.2000000000007</v>
      </c>
      <c r="AB24" s="1">
        <f t="shared" ref="AB24:AC24" si="121">+AB25-AB34</f>
        <v>-9140.3000000000011</v>
      </c>
      <c r="AC24" s="1">
        <f t="shared" si="121"/>
        <v>-8363.6</v>
      </c>
      <c r="AD24" s="1">
        <f>+AC24+AD12</f>
        <v>-7783.1</v>
      </c>
      <c r="AE24" s="1">
        <f t="shared" ref="AE24:AS24" si="122">+AD24+AE12</f>
        <v>-7066.6666100000011</v>
      </c>
      <c r="AF24" s="1">
        <f t="shared" si="122"/>
        <v>-6204.2193296000005</v>
      </c>
      <c r="AG24" s="1">
        <f t="shared" si="122"/>
        <v>-5185.1001955669999</v>
      </c>
      <c r="AH24" s="1">
        <f t="shared" si="122"/>
        <v>-3998.0426243445781</v>
      </c>
      <c r="AI24" s="1">
        <f t="shared" si="122"/>
        <v>-2631.1384985690966</v>
      </c>
      <c r="AJ24" s="1">
        <f t="shared" si="122"/>
        <v>-1071.8033885800783</v>
      </c>
      <c r="AK24" s="1">
        <f t="shared" si="122"/>
        <v>693.26020756745743</v>
      </c>
      <c r="AL24" s="1">
        <f t="shared" si="122"/>
        <v>2678.1017301126462</v>
      </c>
      <c r="AM24" s="1">
        <f t="shared" si="122"/>
        <v>4897.5636627704343</v>
      </c>
      <c r="AN24" s="1">
        <f t="shared" si="122"/>
        <v>7367.3250195015426</v>
      </c>
      <c r="AO24" s="1">
        <f t="shared" si="122"/>
        <v>10103.947365242944</v>
      </c>
      <c r="AP24" s="1">
        <f t="shared" si="122"/>
        <v>13124.923533669886</v>
      </c>
      <c r="AQ24" s="1">
        <f t="shared" si="122"/>
        <v>16448.729216559746</v>
      </c>
      <c r="AR24" s="1">
        <f t="shared" si="122"/>
        <v>20094.877611689739</v>
      </c>
      <c r="AS24" s="1">
        <f t="shared" si="122"/>
        <v>24083.977329491616</v>
      </c>
      <c r="AU24" s="1" t="s">
        <v>141</v>
      </c>
      <c r="AV24" s="3">
        <f>+AV22/AV23-1</f>
        <v>-3.3671365769887052E-2</v>
      </c>
    </row>
    <row r="25" spans="1:48" x14ac:dyDescent="0.2">
      <c r="A25" s="1" t="s">
        <v>30</v>
      </c>
      <c r="I25" s="1">
        <v>93.3</v>
      </c>
      <c r="J25" s="1">
        <v>93.3</v>
      </c>
      <c r="K25" s="1">
        <v>61.5</v>
      </c>
      <c r="L25" s="1">
        <v>78.5</v>
      </c>
      <c r="M25" s="1">
        <v>77.7</v>
      </c>
      <c r="N25" s="1">
        <v>128.69999999999999</v>
      </c>
      <c r="O25" s="1">
        <v>37.4</v>
      </c>
      <c r="AB25" s="1">
        <v>93.3</v>
      </c>
      <c r="AC25" s="1">
        <v>77.7</v>
      </c>
    </row>
    <row r="26" spans="1:48" x14ac:dyDescent="0.2">
      <c r="A26" s="1" t="s">
        <v>64</v>
      </c>
      <c r="I26" s="1">
        <v>952.8</v>
      </c>
      <c r="J26" s="1">
        <v>971.5</v>
      </c>
      <c r="K26" s="1">
        <v>974.1</v>
      </c>
      <c r="L26" s="1">
        <v>916.5</v>
      </c>
      <c r="M26" s="1">
        <v>871.8</v>
      </c>
      <c r="N26" s="1">
        <v>933.4</v>
      </c>
      <c r="O26" s="1">
        <v>856.9</v>
      </c>
      <c r="AB26" s="1">
        <v>952.8</v>
      </c>
      <c r="AC26" s="1">
        <v>871.8</v>
      </c>
    </row>
    <row r="27" spans="1:48" x14ac:dyDescent="0.2">
      <c r="A27" s="1" t="s">
        <v>65</v>
      </c>
      <c r="I27" s="1">
        <v>2212.1999999999998</v>
      </c>
      <c r="J27" s="1">
        <v>2393.8000000000002</v>
      </c>
      <c r="K27" s="1">
        <v>2277.6</v>
      </c>
      <c r="L27" s="1">
        <v>2143.4</v>
      </c>
      <c r="M27" s="1">
        <v>2083</v>
      </c>
      <c r="N27" s="1">
        <v>2220.6</v>
      </c>
      <c r="O27" s="1">
        <v>2180.8000000000002</v>
      </c>
      <c r="AB27" s="1">
        <v>2212.1999999999998</v>
      </c>
      <c r="AC27" s="1">
        <v>2083</v>
      </c>
    </row>
    <row r="28" spans="1:48" x14ac:dyDescent="0.2">
      <c r="A28" s="1" t="s">
        <v>66</v>
      </c>
      <c r="I28" s="1">
        <v>92.4</v>
      </c>
      <c r="J28" s="1">
        <v>114.9</v>
      </c>
      <c r="K28" s="1">
        <v>125.7</v>
      </c>
      <c r="L28" s="1">
        <v>117.2</v>
      </c>
      <c r="M28" s="1">
        <v>85</v>
      </c>
      <c r="N28" s="1">
        <v>133.5</v>
      </c>
      <c r="O28" s="1">
        <v>130.30000000000001</v>
      </c>
      <c r="AB28" s="1">
        <v>92.4</v>
      </c>
      <c r="AC28" s="1">
        <v>85</v>
      </c>
    </row>
    <row r="29" spans="1:48" x14ac:dyDescent="0.2">
      <c r="A29" s="1" t="s">
        <v>67</v>
      </c>
      <c r="I29" s="1">
        <f>34.3+123.3</f>
        <v>157.6</v>
      </c>
      <c r="J29" s="1">
        <v>0</v>
      </c>
      <c r="K29" s="1">
        <f>30.2+89.5</f>
        <v>119.7</v>
      </c>
      <c r="L29" s="1">
        <f>30.2+90.6</f>
        <v>120.8</v>
      </c>
      <c r="M29" s="1">
        <f>32+89.2</f>
        <v>121.2</v>
      </c>
      <c r="N29" s="1">
        <v>21.2</v>
      </c>
      <c r="O29" s="1">
        <v>21.2</v>
      </c>
      <c r="AB29" s="1">
        <f>34.3+123.3</f>
        <v>157.6</v>
      </c>
      <c r="AC29" s="1">
        <f>32+89.2</f>
        <v>121.2</v>
      </c>
    </row>
    <row r="30" spans="1:48" x14ac:dyDescent="0.2">
      <c r="A30" s="1" t="s">
        <v>68</v>
      </c>
      <c r="I30" s="1">
        <v>2736.4</v>
      </c>
      <c r="J30" s="1">
        <v>2914.6</v>
      </c>
      <c r="K30" s="1">
        <v>2876.5</v>
      </c>
      <c r="L30" s="1">
        <v>2876.7</v>
      </c>
      <c r="M30" s="1">
        <v>2896.9</v>
      </c>
      <c r="N30" s="1">
        <v>2877</v>
      </c>
      <c r="O30" s="1">
        <v>2820.3</v>
      </c>
      <c r="AB30" s="1">
        <v>2736.4</v>
      </c>
      <c r="AC30" s="1">
        <v>2896.9</v>
      </c>
    </row>
    <row r="31" spans="1:48" x14ac:dyDescent="0.2">
      <c r="A31" s="1" t="s">
        <v>69</v>
      </c>
      <c r="I31" s="1">
        <f>11109.4+3192.3</f>
        <v>14301.7</v>
      </c>
      <c r="J31" s="1">
        <f>11178.2+3192.4</f>
        <v>14370.6</v>
      </c>
      <c r="K31" s="1">
        <f>11109.3+3165.4</f>
        <v>14274.699999999999</v>
      </c>
      <c r="L31" s="1">
        <f>11109.9+3152.1</f>
        <v>14262</v>
      </c>
      <c r="M31" s="1">
        <f>10582.7+2708.4</f>
        <v>13291.1</v>
      </c>
      <c r="N31" s="1">
        <f>10758+2756.4</f>
        <v>13514.4</v>
      </c>
      <c r="O31" s="1">
        <f>10757.3+2723.7</f>
        <v>13481</v>
      </c>
      <c r="AB31" s="1">
        <f>11109.4+3192.3</f>
        <v>14301.7</v>
      </c>
      <c r="AC31" s="1">
        <f>10582.7+2708.4</f>
        <v>13291.1</v>
      </c>
    </row>
    <row r="32" spans="1:48" x14ac:dyDescent="0.2">
      <c r="A32" s="1" t="s">
        <v>70</v>
      </c>
      <c r="I32" s="1">
        <v>1506.2</v>
      </c>
      <c r="J32" s="1">
        <v>1506.7</v>
      </c>
      <c r="K32" s="1">
        <v>1410.2</v>
      </c>
      <c r="L32" s="1">
        <v>1404.8</v>
      </c>
      <c r="M32" s="1">
        <v>1435.6</v>
      </c>
      <c r="N32" s="1">
        <v>1419</v>
      </c>
      <c r="O32" s="1">
        <v>1490.2</v>
      </c>
      <c r="AB32" s="1">
        <v>1506.2</v>
      </c>
      <c r="AC32" s="1">
        <v>1435.6</v>
      </c>
    </row>
    <row r="33" spans="1:29" s="22" customFormat="1" x14ac:dyDescent="0.2">
      <c r="A33" s="22" t="s">
        <v>71</v>
      </c>
      <c r="I33" s="22">
        <f t="shared" ref="I33" si="123">+SUM(I25:I32)</f>
        <v>22052.600000000002</v>
      </c>
      <c r="J33" s="22">
        <f t="shared" ref="J33:O33" si="124">+SUM(J25:J32)</f>
        <v>22365.4</v>
      </c>
      <c r="K33" s="22">
        <f t="shared" si="124"/>
        <v>22120</v>
      </c>
      <c r="L33" s="22">
        <f t="shared" si="124"/>
        <v>21919.899999999998</v>
      </c>
      <c r="M33" s="22">
        <f t="shared" si="124"/>
        <v>20862.3</v>
      </c>
      <c r="N33" s="22">
        <f t="shared" si="124"/>
        <v>21247.8</v>
      </c>
      <c r="O33" s="22">
        <f t="shared" si="124"/>
        <v>21018.100000000002</v>
      </c>
      <c r="AB33" s="22">
        <f t="shared" ref="AB33:AC33" si="125">+SUM(AB25:AB32)</f>
        <v>22052.600000000002</v>
      </c>
      <c r="AC33" s="22">
        <f t="shared" si="125"/>
        <v>20862.3</v>
      </c>
    </row>
    <row r="34" spans="1:29" x14ac:dyDescent="0.2">
      <c r="A34" s="1" t="s">
        <v>31</v>
      </c>
      <c r="I34" s="1">
        <f>636.3+1516+7081.3</f>
        <v>9233.6</v>
      </c>
      <c r="J34" s="1">
        <f>513.1+1015.4+7745.1</f>
        <v>9273.6</v>
      </c>
      <c r="K34" s="1">
        <f>559+1017.3+7493.3</f>
        <v>9069.6</v>
      </c>
      <c r="L34" s="1">
        <f>166.3+1019.2+7491.8</f>
        <v>8677.2999999999993</v>
      </c>
      <c r="M34" s="1">
        <f>928.4+20.3+7492.6</f>
        <v>8441.3000000000011</v>
      </c>
      <c r="N34" s="1">
        <f>1266.4+20.2+7485.6</f>
        <v>8772.2000000000007</v>
      </c>
      <c r="O34" s="1">
        <f>1194.7+1031.1+6237.8</f>
        <v>8463.6</v>
      </c>
      <c r="AB34" s="1">
        <f>636.3+1516+7081.3</f>
        <v>9233.6</v>
      </c>
      <c r="AC34" s="1">
        <f>928.4+20.3+7492.6</f>
        <v>8441.3000000000011</v>
      </c>
    </row>
    <row r="35" spans="1:29" x14ac:dyDescent="0.2">
      <c r="A35" s="1" t="s">
        <v>72</v>
      </c>
      <c r="I35" s="1">
        <v>1525.5</v>
      </c>
      <c r="J35" s="1">
        <v>1534.6</v>
      </c>
      <c r="K35" s="1">
        <v>1474.6</v>
      </c>
      <c r="L35" s="1">
        <v>1418</v>
      </c>
      <c r="M35" s="1">
        <v>1493.7</v>
      </c>
      <c r="N35" s="1">
        <v>1537.7</v>
      </c>
      <c r="O35" s="1">
        <v>1571.7</v>
      </c>
      <c r="AB35" s="1">
        <v>1525.5</v>
      </c>
      <c r="AC35" s="1">
        <v>1493.7</v>
      </c>
    </row>
    <row r="36" spans="1:29" x14ac:dyDescent="0.2">
      <c r="A36" s="1" t="s">
        <v>73</v>
      </c>
      <c r="I36" s="1">
        <v>163.5</v>
      </c>
      <c r="J36" s="1">
        <v>115.1</v>
      </c>
      <c r="K36" s="1">
        <v>129.5</v>
      </c>
      <c r="L36" s="1">
        <v>168.3</v>
      </c>
      <c r="M36" s="1">
        <v>193.3</v>
      </c>
      <c r="N36" s="1">
        <v>108.2</v>
      </c>
      <c r="O36" s="1">
        <v>125.6</v>
      </c>
      <c r="AB36" s="1">
        <v>163.5</v>
      </c>
      <c r="AC36" s="1">
        <v>193.3</v>
      </c>
    </row>
    <row r="37" spans="1:29" x14ac:dyDescent="0.2">
      <c r="A37" s="1" t="s">
        <v>74</v>
      </c>
      <c r="I37" s="1">
        <v>583.29999999999995</v>
      </c>
      <c r="J37" s="1">
        <v>761.9</v>
      </c>
      <c r="K37" s="1">
        <v>639.6</v>
      </c>
      <c r="L37" s="1">
        <v>686.2</v>
      </c>
      <c r="M37" s="1">
        <v>591.29999999999995</v>
      </c>
      <c r="N37" s="1">
        <v>714.3</v>
      </c>
      <c r="O37" s="1">
        <v>636.6</v>
      </c>
      <c r="AB37" s="1">
        <v>583.29999999999995</v>
      </c>
      <c r="AC37" s="1">
        <v>591.29999999999995</v>
      </c>
    </row>
    <row r="38" spans="1:29" x14ac:dyDescent="0.2">
      <c r="A38" s="1" t="s">
        <v>67</v>
      </c>
      <c r="I38" s="1">
        <f>16.1+5.3</f>
        <v>21.400000000000002</v>
      </c>
      <c r="J38" s="1">
        <v>0</v>
      </c>
      <c r="K38" s="1">
        <f>13.1+1.9</f>
        <v>15</v>
      </c>
      <c r="L38" s="1">
        <f>12.9+2.3</f>
        <v>15.2</v>
      </c>
      <c r="M38" s="1">
        <f>14.8+1.9</f>
        <v>16.7</v>
      </c>
      <c r="N38" s="1">
        <v>0</v>
      </c>
      <c r="O38" s="1">
        <v>0</v>
      </c>
      <c r="AB38" s="1">
        <f>16.1+5.3</f>
        <v>21.400000000000002</v>
      </c>
      <c r="AC38" s="1">
        <f>14.8+1.9</f>
        <v>16.7</v>
      </c>
    </row>
    <row r="39" spans="1:29" x14ac:dyDescent="0.2">
      <c r="A39" s="1" t="s">
        <v>75</v>
      </c>
      <c r="I39" s="1">
        <v>1718</v>
      </c>
      <c r="J39" s="1">
        <v>1725.1</v>
      </c>
      <c r="K39" s="1">
        <v>1717.5</v>
      </c>
      <c r="L39" s="1">
        <v>1729.4</v>
      </c>
      <c r="M39" s="1">
        <v>1614.7</v>
      </c>
      <c r="N39" s="1">
        <v>1419.8</v>
      </c>
      <c r="O39" s="1">
        <v>1419.9</v>
      </c>
      <c r="AB39" s="1">
        <v>1718</v>
      </c>
      <c r="AC39" s="1">
        <v>1614.7</v>
      </c>
    </row>
    <row r="40" spans="1:29" s="22" customFormat="1" x14ac:dyDescent="0.2">
      <c r="A40" s="22" t="s">
        <v>76</v>
      </c>
      <c r="I40" s="22">
        <f t="shared" ref="I40" si="126">+SUM(I34:I39)</f>
        <v>13245.3</v>
      </c>
      <c r="J40" s="22">
        <f t="shared" ref="J40:O40" si="127">+SUM(J34:J39)</f>
        <v>13410.300000000001</v>
      </c>
      <c r="K40" s="22">
        <f t="shared" si="127"/>
        <v>13045.800000000001</v>
      </c>
      <c r="L40" s="22">
        <f t="shared" si="127"/>
        <v>12694.4</v>
      </c>
      <c r="M40" s="22">
        <f t="shared" si="127"/>
        <v>12351.000000000002</v>
      </c>
      <c r="N40" s="22">
        <f t="shared" si="127"/>
        <v>12552.2</v>
      </c>
      <c r="O40" s="22">
        <f t="shared" si="127"/>
        <v>12217.400000000001</v>
      </c>
      <c r="AB40" s="22">
        <f t="shared" ref="AB40:AC40" si="128">+SUM(AB34:AB39)</f>
        <v>13245.3</v>
      </c>
      <c r="AC40" s="22">
        <f t="shared" si="128"/>
        <v>12351.000000000002</v>
      </c>
    </row>
    <row r="41" spans="1:29" x14ac:dyDescent="0.2">
      <c r="A41" s="1" t="s">
        <v>77</v>
      </c>
      <c r="I41" s="1">
        <v>8807.2999999999993</v>
      </c>
      <c r="J41" s="1">
        <v>8955.1</v>
      </c>
      <c r="K41" s="1">
        <v>9074.2000000000007</v>
      </c>
      <c r="L41" s="1">
        <v>9225.5</v>
      </c>
      <c r="M41" s="1">
        <v>8511.2999999999993</v>
      </c>
      <c r="N41" s="1">
        <v>8695.6</v>
      </c>
      <c r="O41" s="1">
        <v>8800.7000000000007</v>
      </c>
      <c r="AB41" s="1">
        <v>8807.2999999999993</v>
      </c>
      <c r="AC41" s="1">
        <v>8511.2999999999993</v>
      </c>
    </row>
    <row r="42" spans="1:29" x14ac:dyDescent="0.2">
      <c r="A42" s="1" t="s">
        <v>78</v>
      </c>
      <c r="I42" s="1">
        <f t="shared" ref="I42" si="129">+I41+I40</f>
        <v>22052.6</v>
      </c>
      <c r="J42" s="1">
        <f t="shared" ref="J42:O42" si="130">+J41+J40</f>
        <v>22365.4</v>
      </c>
      <c r="K42" s="1">
        <f t="shared" si="130"/>
        <v>22120</v>
      </c>
      <c r="L42" s="1">
        <f t="shared" si="130"/>
        <v>21919.9</v>
      </c>
      <c r="M42" s="1">
        <f t="shared" si="130"/>
        <v>20862.300000000003</v>
      </c>
      <c r="N42" s="1">
        <f t="shared" si="130"/>
        <v>21247.800000000003</v>
      </c>
      <c r="O42" s="1">
        <f t="shared" si="130"/>
        <v>21018.100000000002</v>
      </c>
      <c r="AB42" s="1">
        <f t="shared" ref="AB42:AC42" si="131">+AB41+AB40</f>
        <v>22052.6</v>
      </c>
      <c r="AC42" s="1">
        <f t="shared" si="131"/>
        <v>20862.300000000003</v>
      </c>
    </row>
    <row r="44" spans="1:29" x14ac:dyDescent="0.2">
      <c r="A44" s="1" t="s">
        <v>106</v>
      </c>
      <c r="K44" s="1">
        <f t="shared" ref="K44:M44" si="132">+SUM(H12:K12)</f>
        <v>973.3</v>
      </c>
      <c r="L44" s="1">
        <f>+SUM(I12:L12)</f>
        <v>947.30000000000018</v>
      </c>
      <c r="M44" s="1">
        <f t="shared" si="132"/>
        <v>337.40000000000009</v>
      </c>
      <c r="N44" s="1">
        <f>+SUM(K12:N12)</f>
        <v>481.00000000000034</v>
      </c>
      <c r="O44" s="1">
        <f>+SUM(L12:O12)</f>
        <v>475.8000000000003</v>
      </c>
    </row>
    <row r="45" spans="1:29" s="3" customFormat="1" x14ac:dyDescent="0.2">
      <c r="A45" s="3" t="s">
        <v>107</v>
      </c>
      <c r="K45" s="3">
        <f t="shared" ref="K45:N45" si="133">+K44/(K26+K27+K28+K29+K30+K32)</f>
        <v>0.12504175338523602</v>
      </c>
      <c r="L45" s="3">
        <f t="shared" si="133"/>
        <v>0.12498350792938756</v>
      </c>
      <c r="M45" s="3">
        <f t="shared" si="133"/>
        <v>4.5025688930406364E-2</v>
      </c>
      <c r="N45" s="3">
        <f t="shared" si="133"/>
        <v>6.3250358331032167E-2</v>
      </c>
      <c r="O45" s="3">
        <f>+O44/(O26+O27+O28+O29+O30+O32)</f>
        <v>6.3442537701508095E-2</v>
      </c>
    </row>
    <row r="47" spans="1:29" x14ac:dyDescent="0.2">
      <c r="A47" s="1" t="s">
        <v>79</v>
      </c>
      <c r="J47" s="1">
        <f t="shared" ref="J47:O47" si="134">+J12</f>
        <v>320.19999999999987</v>
      </c>
      <c r="K47" s="1">
        <f t="shared" si="134"/>
        <v>286.59999999999985</v>
      </c>
      <c r="L47" s="1">
        <f t="shared" si="134"/>
        <v>310.20000000000022</v>
      </c>
      <c r="M47" s="1">
        <f t="shared" si="134"/>
        <v>-579.59999999999991</v>
      </c>
      <c r="N47" s="1">
        <f t="shared" si="134"/>
        <v>463.80000000000018</v>
      </c>
      <c r="O47" s="1">
        <f t="shared" si="134"/>
        <v>281.39999999999981</v>
      </c>
    </row>
    <row r="48" spans="1:29" x14ac:dyDescent="0.2">
      <c r="A48" s="1" t="s">
        <v>80</v>
      </c>
      <c r="J48" s="1">
        <v>319.89999999999998</v>
      </c>
      <c r="K48" s="1">
        <f>606.1-J48</f>
        <v>286.20000000000005</v>
      </c>
      <c r="L48" s="1">
        <f>914.9-SUM(J48:K48)</f>
        <v>308.79999999999995</v>
      </c>
      <c r="M48" s="1">
        <f>347.7-SUM(J48:L48)</f>
        <v>-567.20000000000005</v>
      </c>
      <c r="N48" s="1">
        <v>466.9</v>
      </c>
      <c r="O48" s="1">
        <f>751.4-N48</f>
        <v>284.5</v>
      </c>
    </row>
    <row r="49" spans="1:29" x14ac:dyDescent="0.2">
      <c r="A49" s="1" t="s">
        <v>81</v>
      </c>
      <c r="J49" s="1">
        <v>96.6</v>
      </c>
      <c r="K49" s="1">
        <f>195.9-J49</f>
        <v>99.300000000000011</v>
      </c>
      <c r="L49" s="1">
        <f>291.7-SUM(J49:K49)</f>
        <v>95.799999999999983</v>
      </c>
      <c r="M49" s="1">
        <f>400.9-SUM(J49:L49)</f>
        <v>109.19999999999999</v>
      </c>
      <c r="N49" s="1">
        <v>99.1</v>
      </c>
      <c r="O49" s="1">
        <f>196.6-N49</f>
        <v>97.5</v>
      </c>
    </row>
    <row r="50" spans="1:29" x14ac:dyDescent="0.2">
      <c r="A50" s="1" t="s">
        <v>82</v>
      </c>
      <c r="J50" s="1">
        <v>15.2</v>
      </c>
      <c r="K50" s="1">
        <f>50.7-J50</f>
        <v>35.5</v>
      </c>
      <c r="L50" s="1">
        <f>50.9-SUM(J50:K50)</f>
        <v>0.19999999999999574</v>
      </c>
      <c r="M50" s="1">
        <f>1035.5-SUM(J50:L50)</f>
        <v>984.6</v>
      </c>
      <c r="N50" s="1">
        <v>0.1</v>
      </c>
      <c r="O50" s="1">
        <f>87.6-N50</f>
        <v>87.5</v>
      </c>
    </row>
    <row r="51" spans="1:29" x14ac:dyDescent="0.2">
      <c r="A51" s="1" t="s">
        <v>83</v>
      </c>
      <c r="J51" s="1">
        <v>-6.7</v>
      </c>
      <c r="K51" s="1">
        <f>76.9-J51</f>
        <v>83.600000000000009</v>
      </c>
      <c r="L51" s="1">
        <f>69.5-SUM(J51:K51)</f>
        <v>-7.4000000000000057</v>
      </c>
      <c r="M51" s="1">
        <f>74-SUM(J51:L51)</f>
        <v>4.5</v>
      </c>
      <c r="N51" s="1">
        <v>-5.2</v>
      </c>
      <c r="O51" s="1">
        <f>-28.9-N51</f>
        <v>-23.7</v>
      </c>
    </row>
    <row r="52" spans="1:29" x14ac:dyDescent="0.2">
      <c r="A52" s="1" t="s">
        <v>84</v>
      </c>
      <c r="J52" s="1">
        <v>-2.7</v>
      </c>
      <c r="K52" s="1">
        <f>3.5-J52</f>
        <v>6.2</v>
      </c>
      <c r="L52" s="1">
        <f>18.7-SUM(J52:K52)</f>
        <v>15.2</v>
      </c>
      <c r="M52" s="1">
        <f>30.8-SUM(J52:L52)</f>
        <v>12.100000000000001</v>
      </c>
      <c r="N52" s="1">
        <v>20.6</v>
      </c>
      <c r="O52" s="1">
        <f>29.8-N52</f>
        <v>9.1999999999999993</v>
      </c>
    </row>
    <row r="53" spans="1:29" x14ac:dyDescent="0.2">
      <c r="A53" s="1" t="s">
        <v>85</v>
      </c>
      <c r="J53" s="1">
        <v>-3.1</v>
      </c>
      <c r="K53" s="1">
        <f>-6-J53</f>
        <v>-2.9</v>
      </c>
      <c r="L53" s="1">
        <f>-9.2-SUM(J53:K53)</f>
        <v>-3.1999999999999993</v>
      </c>
      <c r="M53" s="1">
        <f>-12.2-SUM(J53:L53)</f>
        <v>-3</v>
      </c>
      <c r="N53" s="1">
        <v>-2.9</v>
      </c>
      <c r="O53" s="1">
        <f>-5.9-N53</f>
        <v>-3.0000000000000004</v>
      </c>
    </row>
    <row r="54" spans="1:29" x14ac:dyDescent="0.2">
      <c r="A54" s="1" t="s">
        <v>86</v>
      </c>
      <c r="J54" s="1">
        <v>2.8</v>
      </c>
      <c r="K54" s="1">
        <f>5.5-J54</f>
        <v>2.7</v>
      </c>
      <c r="L54" s="1">
        <f>9.3-SUM(J54:K54)</f>
        <v>3.8000000000000007</v>
      </c>
      <c r="M54" s="1">
        <f>-0.6-SUM(J54:L54)</f>
        <v>-9.9</v>
      </c>
      <c r="N54" s="1">
        <v>-0.8</v>
      </c>
      <c r="O54" s="1">
        <f>-1.5-N54</f>
        <v>-0.7</v>
      </c>
    </row>
    <row r="55" spans="1:29" x14ac:dyDescent="0.2">
      <c r="A55" s="1" t="s">
        <v>70</v>
      </c>
      <c r="J55" s="1">
        <v>10.4</v>
      </c>
      <c r="K55" s="1">
        <f>24-J55</f>
        <v>13.6</v>
      </c>
      <c r="L55" s="1">
        <f>13.9-SUM(J55:K55)</f>
        <v>-10.1</v>
      </c>
      <c r="M55" s="1">
        <f>8.8-SUM(J55:L55)</f>
        <v>-5.0999999999999996</v>
      </c>
      <c r="N55" s="1">
        <v>11.6</v>
      </c>
      <c r="O55" s="1">
        <f>4.7-N55</f>
        <v>-6.8999999999999995</v>
      </c>
    </row>
    <row r="56" spans="1:29" x14ac:dyDescent="0.2">
      <c r="A56" s="1" t="s">
        <v>64</v>
      </c>
      <c r="J56" s="1">
        <v>-11.1</v>
      </c>
      <c r="K56" s="1">
        <f>-29.8-J56</f>
        <v>-18.700000000000003</v>
      </c>
      <c r="L56" s="1">
        <f>25.5-SUM(J56:K56)</f>
        <v>55.300000000000004</v>
      </c>
      <c r="M56" s="1">
        <f>70.1-SUM(J56:L56)</f>
        <v>44.599999999999994</v>
      </c>
      <c r="N56" s="1">
        <v>-60.1</v>
      </c>
      <c r="O56" s="1">
        <f>18.5-N56</f>
        <v>78.599999999999994</v>
      </c>
    </row>
    <row r="57" spans="1:29" x14ac:dyDescent="0.2">
      <c r="A57" s="1" t="s">
        <v>65</v>
      </c>
      <c r="J57" s="1">
        <v>-161.80000000000001</v>
      </c>
      <c r="K57" s="1">
        <f>-61.8-J57</f>
        <v>100.00000000000001</v>
      </c>
      <c r="L57" s="1">
        <f>73.3-SUM(J57:K57)</f>
        <v>135.1</v>
      </c>
      <c r="M57" s="1">
        <f>131.9-SUM(J57:L57)</f>
        <v>58.600000000000009</v>
      </c>
      <c r="N57" s="1">
        <v>-112.5</v>
      </c>
      <c r="O57" s="1">
        <f>-73.8-N57</f>
        <v>38.700000000000003</v>
      </c>
    </row>
    <row r="58" spans="1:29" x14ac:dyDescent="0.2">
      <c r="A58" s="1" t="s">
        <v>87</v>
      </c>
      <c r="J58" s="1">
        <v>90.6</v>
      </c>
      <c r="K58" s="1">
        <f>24-J58</f>
        <v>-66.599999999999994</v>
      </c>
      <c r="L58" s="1">
        <f>43.1-SUM(J58:K58)</f>
        <v>19.100000000000001</v>
      </c>
      <c r="M58" s="1">
        <f>-81.1-SUM(J58:L58)</f>
        <v>-124.19999999999999</v>
      </c>
      <c r="N58" s="1">
        <v>-165.9</v>
      </c>
      <c r="O58" s="1">
        <f>-206.4-N58</f>
        <v>-40.5</v>
      </c>
    </row>
    <row r="59" spans="1:29" x14ac:dyDescent="0.2">
      <c r="A59" s="1" t="s">
        <v>66</v>
      </c>
      <c r="J59" s="1">
        <v>-35.6</v>
      </c>
      <c r="K59" s="1">
        <f>-30.6-J59</f>
        <v>5</v>
      </c>
      <c r="L59" s="1">
        <f>-31.3-SUM(J59:K59)</f>
        <v>-0.69999999999999929</v>
      </c>
      <c r="M59" s="1">
        <f>-2.2-SUM(J59:L59)</f>
        <v>29.1</v>
      </c>
      <c r="N59" s="1">
        <v>-43</v>
      </c>
      <c r="O59" s="1">
        <f>-40.4-N59</f>
        <v>2.6000000000000014</v>
      </c>
    </row>
    <row r="60" spans="1:29" x14ac:dyDescent="0.2">
      <c r="A60" s="1" t="s">
        <v>72</v>
      </c>
      <c r="J60" s="1">
        <v>81.400000000000006</v>
      </c>
      <c r="K60" s="1">
        <f>7.7-J60</f>
        <v>-73.7</v>
      </c>
      <c r="L60" s="1">
        <f>-36.5-SUM(J60:K60)</f>
        <v>-44.2</v>
      </c>
      <c r="M60" s="1">
        <f>-22.7-SUM(J60:L60)</f>
        <v>13.8</v>
      </c>
      <c r="N60" s="1">
        <v>67.7</v>
      </c>
      <c r="O60" s="1">
        <f>97.3-N60</f>
        <v>29.599999999999994</v>
      </c>
    </row>
    <row r="61" spans="1:29" x14ac:dyDescent="0.2">
      <c r="A61" s="1" t="s">
        <v>73</v>
      </c>
      <c r="J61" s="1">
        <v>-49</v>
      </c>
      <c r="K61" s="1">
        <f>-34.1-J61</f>
        <v>14.899999999999999</v>
      </c>
      <c r="L61" s="1">
        <f>4.6-SUM(J61:K61)</f>
        <v>38.700000000000003</v>
      </c>
      <c r="M61" s="1">
        <f>29.7-SUM(J61:L61)</f>
        <v>25.099999999999998</v>
      </c>
      <c r="N61" s="1">
        <v>-83.7</v>
      </c>
      <c r="O61" s="1">
        <f>-66.2-N61</f>
        <v>17.5</v>
      </c>
    </row>
    <row r="62" spans="1:29" x14ac:dyDescent="0.2">
      <c r="A62" s="1" t="s">
        <v>70</v>
      </c>
      <c r="J62" s="1">
        <v>96.6</v>
      </c>
      <c r="K62" s="1">
        <f>22.6-J62</f>
        <v>-74</v>
      </c>
      <c r="L62" s="1">
        <f>76.2-SUM(J62:K62)</f>
        <v>53.600000000000009</v>
      </c>
      <c r="M62" s="1">
        <f>-20-SUM(J62:L62)</f>
        <v>-96.2</v>
      </c>
      <c r="N62" s="1">
        <v>84.4</v>
      </c>
      <c r="O62" s="1">
        <f>15.4-N62</f>
        <v>-69</v>
      </c>
    </row>
    <row r="63" spans="1:29" x14ac:dyDescent="0.2">
      <c r="A63" s="1" t="s">
        <v>102</v>
      </c>
      <c r="J63" s="1">
        <v>0</v>
      </c>
      <c r="K63" s="1">
        <v>0</v>
      </c>
      <c r="L63" s="1">
        <f>16.7-SUM(J63:K63)</f>
        <v>16.7</v>
      </c>
      <c r="M63" s="1">
        <f>25-SUM(J63:L63)</f>
        <v>8.3000000000000007</v>
      </c>
      <c r="N63" s="1">
        <v>-7.7</v>
      </c>
      <c r="O63" s="1">
        <f>-24-N63</f>
        <v>-16.3</v>
      </c>
    </row>
    <row r="64" spans="1:29" s="22" customFormat="1" x14ac:dyDescent="0.2">
      <c r="A64" s="22" t="s">
        <v>88</v>
      </c>
      <c r="J64" s="22">
        <f t="shared" ref="J64:O64" si="135">+SUM(J48:J63)</f>
        <v>443.49999999999989</v>
      </c>
      <c r="K64" s="22">
        <f t="shared" si="135"/>
        <v>411.10000000000008</v>
      </c>
      <c r="L64" s="22">
        <f t="shared" si="135"/>
        <v>676.69999999999993</v>
      </c>
      <c r="M64" s="22">
        <f t="shared" si="135"/>
        <v>484.29999999999995</v>
      </c>
      <c r="N64" s="22">
        <f t="shared" si="135"/>
        <v>268.60000000000008</v>
      </c>
      <c r="O64" s="22">
        <f t="shared" si="135"/>
        <v>485.60000000000008</v>
      </c>
      <c r="Y64" s="22">
        <v>1842.6</v>
      </c>
      <c r="Z64" s="22">
        <v>1468.1</v>
      </c>
      <c r="AA64" s="22">
        <v>1177.3</v>
      </c>
      <c r="AB64" s="22">
        <v>995.4</v>
      </c>
      <c r="AC64" s="22">
        <v>2015.6</v>
      </c>
    </row>
    <row r="66" spans="1:29" x14ac:dyDescent="0.2">
      <c r="A66" s="1" t="s">
        <v>89</v>
      </c>
      <c r="J66" s="1">
        <f>-143.6</f>
        <v>-143.6</v>
      </c>
      <c r="K66" s="1">
        <f>-214-J66</f>
        <v>-70.400000000000006</v>
      </c>
      <c r="L66" s="1">
        <f>-309.6-SUM(J66:K66)</f>
        <v>-95.600000000000023</v>
      </c>
      <c r="M66" s="1">
        <f>-388.1-SUM(J66:L66)</f>
        <v>-78.5</v>
      </c>
      <c r="N66" s="1">
        <v>-133</v>
      </c>
      <c r="O66" s="1">
        <f>-215.4-N66</f>
        <v>-82.4</v>
      </c>
      <c r="Y66" s="1">
        <v>-369.5</v>
      </c>
      <c r="Z66" s="1">
        <v>-506.4</v>
      </c>
      <c r="AA66" s="1">
        <v>-464.4</v>
      </c>
      <c r="AB66" s="1">
        <v>-362.2</v>
      </c>
      <c r="AC66" s="1">
        <v>-388.1</v>
      </c>
    </row>
    <row r="67" spans="1:29" x14ac:dyDescent="0.2">
      <c r="A67" s="1" t="s">
        <v>90</v>
      </c>
      <c r="J67" s="1">
        <v>0.2</v>
      </c>
      <c r="K67" s="1">
        <f>0.5-J67</f>
        <v>0.3</v>
      </c>
      <c r="L67" s="1">
        <f>0.6-SUM(J67:K67)</f>
        <v>9.9999999999999978E-2</v>
      </c>
      <c r="M67" s="1">
        <f>0.8-SUM(J67:L67)</f>
        <v>0.20000000000000007</v>
      </c>
      <c r="N67" s="1">
        <v>0.3</v>
      </c>
      <c r="O67" s="1">
        <f>2.7-N67</f>
        <v>2.4000000000000004</v>
      </c>
    </row>
    <row r="68" spans="1:29" x14ac:dyDescent="0.2">
      <c r="A68" s="1" t="s">
        <v>91</v>
      </c>
      <c r="J68" s="1">
        <f>-0.7+0.7</f>
        <v>0</v>
      </c>
      <c r="K68" s="1">
        <f>-5.1+5.1-J68</f>
        <v>0</v>
      </c>
      <c r="L68" s="1">
        <f>-8.2+8.2-SUM(J68:K68)</f>
        <v>0</v>
      </c>
      <c r="M68" s="1">
        <f>-10.3+10.3-SUM(J68:L68)</f>
        <v>0</v>
      </c>
      <c r="N68" s="1">
        <v>0</v>
      </c>
      <c r="O68" s="1">
        <v>0</v>
      </c>
    </row>
    <row r="69" spans="1:29" x14ac:dyDescent="0.2">
      <c r="A69" s="1" t="s">
        <v>103</v>
      </c>
      <c r="J69" s="1">
        <v>0</v>
      </c>
      <c r="K69" s="1">
        <v>0</v>
      </c>
      <c r="L69" s="1">
        <v>0</v>
      </c>
      <c r="M69" s="1">
        <v>0</v>
      </c>
      <c r="N69" s="1">
        <v>-230.4</v>
      </c>
      <c r="O69" s="1">
        <f>-230.6-N69</f>
        <v>-0.19999999999998863</v>
      </c>
    </row>
    <row r="70" spans="1:29" x14ac:dyDescent="0.2">
      <c r="A70" s="1" t="s">
        <v>104</v>
      </c>
      <c r="J70" s="1">
        <v>0</v>
      </c>
      <c r="K70" s="1">
        <v>0</v>
      </c>
      <c r="L70" s="1">
        <v>0</v>
      </c>
      <c r="M70" s="1">
        <v>0</v>
      </c>
      <c r="N70" s="1">
        <v>76.8</v>
      </c>
      <c r="O70" s="1">
        <f>76.8-N70</f>
        <v>0</v>
      </c>
    </row>
    <row r="71" spans="1:29" x14ac:dyDescent="0.2">
      <c r="A71" s="1" t="s">
        <v>105</v>
      </c>
      <c r="J71" s="1">
        <v>0</v>
      </c>
      <c r="K71" s="1">
        <v>0</v>
      </c>
      <c r="L71" s="1">
        <v>11.9</v>
      </c>
      <c r="M71" s="1">
        <f>11.9-SUM(J71:L71)</f>
        <v>0</v>
      </c>
    </row>
    <row r="72" spans="1:29" x14ac:dyDescent="0.2">
      <c r="A72" s="1" t="s">
        <v>70</v>
      </c>
      <c r="J72" s="1">
        <v>5</v>
      </c>
      <c r="K72" s="1">
        <f>9.6-J72</f>
        <v>4.5999999999999996</v>
      </c>
      <c r="L72" s="1">
        <f>1.5-SUM(J72:K72)</f>
        <v>-8.1</v>
      </c>
      <c r="M72" s="1">
        <f>0.4-SUM(J72:L72)</f>
        <v>-1.1000000000000001</v>
      </c>
      <c r="N72" s="1">
        <v>0</v>
      </c>
      <c r="O72" s="1">
        <f>0.5-N72</f>
        <v>0.5</v>
      </c>
    </row>
    <row r="73" spans="1:29" x14ac:dyDescent="0.2">
      <c r="A73" s="1" t="s">
        <v>92</v>
      </c>
      <c r="J73" s="1">
        <f t="shared" ref="J73:O73" si="136">+SUM(J66:J72)</f>
        <v>-138.4</v>
      </c>
      <c r="K73" s="1">
        <f t="shared" si="136"/>
        <v>-65.500000000000014</v>
      </c>
      <c r="L73" s="1">
        <f t="shared" si="136"/>
        <v>-91.700000000000017</v>
      </c>
      <c r="M73" s="1">
        <f t="shared" si="136"/>
        <v>-79.399999999999991</v>
      </c>
      <c r="N73" s="1">
        <f t="shared" si="136"/>
        <v>-286.3</v>
      </c>
      <c r="O73" s="1">
        <f t="shared" si="136"/>
        <v>-79.699999999999989</v>
      </c>
    </row>
    <row r="75" spans="1:29" x14ac:dyDescent="0.2">
      <c r="A75" s="1" t="s">
        <v>31</v>
      </c>
      <c r="J75" s="1">
        <f>43.5-54.8-117+500-504.3</f>
        <v>-132.60000000000002</v>
      </c>
      <c r="K75" s="1">
        <f>93.9-99.9-75.8+500-760.6-J75</f>
        <v>-209.8</v>
      </c>
      <c r="L75" s="1">
        <f>134.5-146.6-461.7+500-766.8-SUM(J75:K75)</f>
        <v>-398.19999999999987</v>
      </c>
      <c r="M75" s="1">
        <f>466.6-185.9+9.9+500-1772.6-SUM(J75:L75)</f>
        <v>-241.39999999999998</v>
      </c>
      <c r="N75" s="1">
        <f>35.1-35.3+336.4-14.9</f>
        <v>321.3</v>
      </c>
      <c r="O75" s="1">
        <f>70.6-66.3+260.1-270.2-N75</f>
        <v>-327.09999999999997</v>
      </c>
      <c r="Y75" s="1">
        <f>0.1-947.5</f>
        <v>-947.4</v>
      </c>
      <c r="Z75" s="1">
        <f>298.6-298.6+706.3+988.2-2514.5</f>
        <v>-820</v>
      </c>
      <c r="AA75" s="1">
        <f>392.6-392.6-523.1+499.1-48.5</f>
        <v>-72.5</v>
      </c>
      <c r="AB75" s="1">
        <f>286.8-330+394.6+500-712.4</f>
        <v>139.00000000000011</v>
      </c>
      <c r="AC75" s="1">
        <f>466.6-185.9+9.9+500-1772.6</f>
        <v>-981.99999999999989</v>
      </c>
    </row>
    <row r="76" spans="1:29" x14ac:dyDescent="0.2">
      <c r="A76" s="1" t="s">
        <v>93</v>
      </c>
      <c r="J76" s="1">
        <v>-2.8</v>
      </c>
      <c r="K76" s="1">
        <f>-3.1-J76</f>
        <v>-0.30000000000000027</v>
      </c>
      <c r="L76" s="1">
        <f>-3.3-SUM(J76:K76)</f>
        <v>-0.19999999999999973</v>
      </c>
      <c r="M76" s="1">
        <f>-3.3-SUM(J76:L76)</f>
        <v>0</v>
      </c>
      <c r="N76" s="1">
        <v>0</v>
      </c>
      <c r="O76" s="1">
        <v>0</v>
      </c>
    </row>
    <row r="77" spans="1:29" x14ac:dyDescent="0.2">
      <c r="A77" s="1" t="s">
        <v>94</v>
      </c>
      <c r="J77" s="1">
        <v>0</v>
      </c>
      <c r="K77" s="1">
        <v>0</v>
      </c>
      <c r="L77" s="1">
        <v>0</v>
      </c>
      <c r="M77" s="1">
        <v>0</v>
      </c>
      <c r="N77" s="1">
        <v>-64</v>
      </c>
      <c r="O77" s="1">
        <f>-64-N77</f>
        <v>0</v>
      </c>
      <c r="Y77" s="1">
        <v>0</v>
      </c>
      <c r="Z77" s="1">
        <v>-298.10000000000002</v>
      </c>
      <c r="AA77" s="1">
        <v>-50</v>
      </c>
      <c r="AB77" s="1">
        <v>-150</v>
      </c>
      <c r="AC77" s="1">
        <v>0</v>
      </c>
    </row>
    <row r="78" spans="1:29" x14ac:dyDescent="0.2">
      <c r="A78" s="1" t="s">
        <v>95</v>
      </c>
      <c r="J78" s="1">
        <v>-157.4</v>
      </c>
      <c r="K78" s="1">
        <f>-324.7-J78</f>
        <v>-167.29999999999998</v>
      </c>
      <c r="L78" s="1">
        <f>-492-SUM(J78:K78)</f>
        <v>-167.3</v>
      </c>
      <c r="M78" s="1">
        <f>-659.3-SUM(J78:L78)</f>
        <v>-167.29999999999995</v>
      </c>
      <c r="N78" s="1">
        <v>-167.3</v>
      </c>
      <c r="O78" s="1">
        <f>-335.1-N78</f>
        <v>-167.8</v>
      </c>
      <c r="Y78" s="1">
        <v>-413.6</v>
      </c>
      <c r="Z78" s="1">
        <v>-474.6</v>
      </c>
      <c r="AA78" s="1">
        <v>-581.79999999999995</v>
      </c>
      <c r="AB78" s="1">
        <v>-623.79999999999995</v>
      </c>
      <c r="AC78" s="1">
        <v>-659.3</v>
      </c>
    </row>
    <row r="79" spans="1:29" x14ac:dyDescent="0.2">
      <c r="A79" s="1" t="s">
        <v>96</v>
      </c>
      <c r="J79" s="1">
        <v>-13.7</v>
      </c>
      <c r="K79" s="1">
        <f>-13.3-J79</f>
        <v>0.39999999999999858</v>
      </c>
      <c r="L79" s="1">
        <f>-13.8-SUM(J79:K79)</f>
        <v>-0.5</v>
      </c>
      <c r="M79" s="1">
        <f>-13.8-SUM(J79:L79)</f>
        <v>0</v>
      </c>
      <c r="N79" s="1">
        <v>-19.8</v>
      </c>
      <c r="O79" s="1">
        <f>-20.1-N79</f>
        <v>-0.30000000000000071</v>
      </c>
    </row>
    <row r="80" spans="1:29" x14ac:dyDescent="0.2">
      <c r="A80" s="1" t="s">
        <v>70</v>
      </c>
      <c r="J80" s="1">
        <v>-0.6</v>
      </c>
      <c r="K80" s="1">
        <f>-0.5-J80</f>
        <v>9.9999999999999978E-2</v>
      </c>
      <c r="L80" s="1">
        <f>-0.6-SUM(J80:K80)</f>
        <v>-9.9999999999999978E-2</v>
      </c>
      <c r="M80" s="1">
        <f>1.7-SUM(J80:L80)</f>
        <v>2.2999999999999998</v>
      </c>
      <c r="N80" s="1">
        <v>-0.1</v>
      </c>
      <c r="O80" s="1">
        <f>-0.2-N80</f>
        <v>-0.1</v>
      </c>
    </row>
    <row r="81" spans="1:29" x14ac:dyDescent="0.2">
      <c r="A81" s="1" t="s">
        <v>97</v>
      </c>
      <c r="J81" s="1">
        <f t="shared" ref="J81:O81" si="137">+SUM(J75:J80)</f>
        <v>-307.10000000000008</v>
      </c>
      <c r="K81" s="1">
        <f t="shared" si="137"/>
        <v>-376.9</v>
      </c>
      <c r="L81" s="1">
        <f t="shared" si="137"/>
        <v>-566.29999999999984</v>
      </c>
      <c r="M81" s="1">
        <f t="shared" si="137"/>
        <v>-406.39999999999992</v>
      </c>
      <c r="N81" s="1">
        <f t="shared" si="137"/>
        <v>70.100000000000009</v>
      </c>
      <c r="O81" s="1">
        <f t="shared" si="137"/>
        <v>-495.3</v>
      </c>
    </row>
    <row r="83" spans="1:29" x14ac:dyDescent="0.2">
      <c r="A83" s="1" t="s">
        <v>98</v>
      </c>
      <c r="J83" s="1">
        <v>1.4</v>
      </c>
      <c r="K83" s="1">
        <f>1.6-J83</f>
        <v>0.20000000000000018</v>
      </c>
      <c r="L83" s="1">
        <f>0-SUM(J83:K83)</f>
        <v>-1.6</v>
      </c>
      <c r="M83" s="1">
        <f>1.2-SUM(J83:L83)</f>
        <v>1.2</v>
      </c>
      <c r="N83" s="1">
        <v>-2.7</v>
      </c>
      <c r="O83" s="1">
        <f>-4.6-N83</f>
        <v>-1.8999999999999995</v>
      </c>
    </row>
    <row r="84" spans="1:29" x14ac:dyDescent="0.2">
      <c r="A84" s="1" t="s">
        <v>99</v>
      </c>
      <c r="J84" s="1">
        <f t="shared" ref="J84:O84" si="138">+J64+J73+J81+J83</f>
        <v>-0.60000000000017062</v>
      </c>
      <c r="K84" s="1">
        <f t="shared" si="138"/>
        <v>-31.099999999999898</v>
      </c>
      <c r="L84" s="1">
        <f t="shared" si="138"/>
        <v>17.100000000000044</v>
      </c>
      <c r="M84" s="1">
        <f t="shared" si="138"/>
        <v>-0.2999999999999432</v>
      </c>
      <c r="N84" s="1">
        <f t="shared" si="138"/>
        <v>49.700000000000074</v>
      </c>
      <c r="O84" s="1">
        <f t="shared" si="138"/>
        <v>-91.299999999999926</v>
      </c>
    </row>
    <row r="86" spans="1:29" x14ac:dyDescent="0.2">
      <c r="A86" s="1" t="s">
        <v>100</v>
      </c>
      <c r="J86" s="1">
        <f t="shared" ref="J86:O86" si="139">+J64+J66</f>
        <v>299.89999999999986</v>
      </c>
      <c r="K86" s="1">
        <f t="shared" si="139"/>
        <v>340.70000000000005</v>
      </c>
      <c r="L86" s="1">
        <f t="shared" si="139"/>
        <v>581.09999999999991</v>
      </c>
      <c r="M86" s="1">
        <f t="shared" si="139"/>
        <v>405.79999999999995</v>
      </c>
      <c r="N86" s="1">
        <f t="shared" si="139"/>
        <v>135.60000000000008</v>
      </c>
      <c r="O86" s="1">
        <f t="shared" si="139"/>
        <v>403.20000000000005</v>
      </c>
      <c r="Y86" s="1">
        <f>+Y64+Y66</f>
        <v>1473.1</v>
      </c>
      <c r="Z86" s="1">
        <f>+Z64+Z66</f>
        <v>961.69999999999993</v>
      </c>
      <c r="AA86" s="1">
        <f>+AA64+AA66</f>
        <v>712.9</v>
      </c>
      <c r="AB86" s="1">
        <f>+AB64+AB66</f>
        <v>633.20000000000005</v>
      </c>
      <c r="AC86" s="1">
        <f>+AC64+AC66</f>
        <v>1627.5</v>
      </c>
    </row>
    <row r="87" spans="1:29" x14ac:dyDescent="0.2">
      <c r="A87" s="1" t="s">
        <v>101</v>
      </c>
      <c r="J87" s="1">
        <f>+SUM(J86:M86)</f>
        <v>1627.4999999999998</v>
      </c>
      <c r="K87" s="1">
        <f t="shared" ref="K87:L87" si="140">+SUM(K86:N86)</f>
        <v>1463.2</v>
      </c>
      <c r="L87" s="1">
        <f t="shared" si="140"/>
        <v>1525.7</v>
      </c>
      <c r="Y87" s="1">
        <f>+SUM(Y86:AB86)</f>
        <v>3780.8999999999996</v>
      </c>
      <c r="Z87" s="1">
        <f t="shared" ref="Z87:AC87" si="141">+SUM(Z86:AC86)</f>
        <v>3935.3</v>
      </c>
      <c r="AA87" s="1">
        <f t="shared" si="141"/>
        <v>2973.6</v>
      </c>
      <c r="AB87" s="1">
        <f t="shared" si="141"/>
        <v>2260.6999999999998</v>
      </c>
      <c r="AC87" s="1">
        <f t="shared" si="141"/>
        <v>1627.5</v>
      </c>
    </row>
    <row r="88" spans="1:29" x14ac:dyDescent="0.2">
      <c r="A88" s="1" t="s">
        <v>106</v>
      </c>
      <c r="J88" s="1">
        <f>+SUM(J12:M12)</f>
        <v>337.40000000000009</v>
      </c>
      <c r="K88" s="1">
        <f t="shared" ref="K88" si="142">+SUM(K12:N12)</f>
        <v>481.00000000000034</v>
      </c>
      <c r="L88" s="1">
        <f>+SUM(L12:O12)</f>
        <v>475.8000000000003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A44D-8588-4F95-BF7A-829D37E769EF}">
  <dimension ref="B2:B21"/>
  <sheetViews>
    <sheetView workbookViewId="0">
      <selection activeCell="C2" sqref="C2"/>
    </sheetView>
  </sheetViews>
  <sheetFormatPr defaultRowHeight="12.75" x14ac:dyDescent="0.2"/>
  <cols>
    <col min="1" max="1" width="3" customWidth="1"/>
    <col min="2" max="2" width="19" bestFit="1" customWidth="1"/>
  </cols>
  <sheetData>
    <row r="2" spans="2:2" x14ac:dyDescent="0.2">
      <c r="B2" t="s">
        <v>115</v>
      </c>
    </row>
    <row r="3" spans="2:2" x14ac:dyDescent="0.2">
      <c r="B3" t="s">
        <v>116</v>
      </c>
    </row>
    <row r="4" spans="2:2" x14ac:dyDescent="0.2">
      <c r="B4" t="s">
        <v>117</v>
      </c>
    </row>
    <row r="5" spans="2:2" x14ac:dyDescent="0.2">
      <c r="B5" t="s">
        <v>118</v>
      </c>
    </row>
    <row r="6" spans="2:2" x14ac:dyDescent="0.2">
      <c r="B6" t="s">
        <v>119</v>
      </c>
    </row>
    <row r="7" spans="2:2" x14ac:dyDescent="0.2">
      <c r="B7" t="s">
        <v>120</v>
      </c>
    </row>
    <row r="8" spans="2:2" x14ac:dyDescent="0.2">
      <c r="B8" t="s">
        <v>121</v>
      </c>
    </row>
    <row r="9" spans="2:2" x14ac:dyDescent="0.2">
      <c r="B9" t="s">
        <v>122</v>
      </c>
    </row>
    <row r="10" spans="2:2" x14ac:dyDescent="0.2">
      <c r="B10" t="s">
        <v>123</v>
      </c>
    </row>
    <row r="11" spans="2:2" x14ac:dyDescent="0.2">
      <c r="B11" t="s">
        <v>124</v>
      </c>
    </row>
    <row r="12" spans="2:2" x14ac:dyDescent="0.2">
      <c r="B12" t="s">
        <v>125</v>
      </c>
    </row>
    <row r="13" spans="2:2" x14ac:dyDescent="0.2">
      <c r="B13" t="s">
        <v>126</v>
      </c>
    </row>
    <row r="14" spans="2:2" x14ac:dyDescent="0.2">
      <c r="B14" t="s">
        <v>127</v>
      </c>
    </row>
    <row r="15" spans="2:2" x14ac:dyDescent="0.2">
      <c r="B15" t="s">
        <v>128</v>
      </c>
    </row>
    <row r="16" spans="2:2" x14ac:dyDescent="0.2">
      <c r="B16" t="s">
        <v>129</v>
      </c>
    </row>
    <row r="17" spans="2:2" x14ac:dyDescent="0.2">
      <c r="B17" t="s">
        <v>130</v>
      </c>
    </row>
    <row r="18" spans="2:2" x14ac:dyDescent="0.2">
      <c r="B18" t="s">
        <v>131</v>
      </c>
    </row>
    <row r="19" spans="2:2" x14ac:dyDescent="0.2">
      <c r="B19" t="s">
        <v>132</v>
      </c>
    </row>
    <row r="20" spans="2:2" x14ac:dyDescent="0.2">
      <c r="B20" t="s">
        <v>133</v>
      </c>
    </row>
    <row r="21" spans="2:2" x14ac:dyDescent="0.2">
      <c r="B21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2025-01-19T08:21:18Z</dcterms:created>
  <dcterms:modified xsi:type="dcterms:W3CDTF">2025-02-05T17:55:38Z</dcterms:modified>
</cp:coreProperties>
</file>