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51F3CE83-9E14-49E2-9BEB-8FA94CBC3A9F}" xr6:coauthVersionLast="47" xr6:coauthVersionMax="47" xr10:uidLastSave="{00000000-0000-0000-0000-000000000000}"/>
  <bookViews>
    <workbookView xWindow="-120" yWindow="-120" windowWidth="29040" windowHeight="15840" activeTab="1" xr2:uid="{5EE69FCA-9B27-41C4-97B5-9A8862E994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9" i="2" l="1"/>
  <c r="AC40" i="2"/>
  <c r="AD39" i="2"/>
  <c r="AE39" i="2" s="1"/>
  <c r="P40" i="2"/>
  <c r="AD40" i="2" s="1"/>
  <c r="P39" i="2"/>
  <c r="L40" i="2"/>
  <c r="O40" i="2"/>
  <c r="K40" i="2"/>
  <c r="O39" i="2"/>
  <c r="K39" i="2"/>
  <c r="L39" i="2" s="1"/>
  <c r="O41" i="2"/>
  <c r="N41" i="2"/>
  <c r="M41" i="2"/>
  <c r="K41" i="2"/>
  <c r="J41" i="2"/>
  <c r="Q41" i="2"/>
  <c r="AA35" i="2"/>
  <c r="AA34" i="2"/>
  <c r="AB35" i="2"/>
  <c r="AB34" i="2"/>
  <c r="AC35" i="2"/>
  <c r="AC34" i="2"/>
  <c r="AD35" i="2"/>
  <c r="AD34" i="2"/>
  <c r="Q34" i="2"/>
  <c r="AC12" i="2"/>
  <c r="AB12" i="2"/>
  <c r="AA12" i="2"/>
  <c r="AC10" i="2"/>
  <c r="AB10" i="2"/>
  <c r="AA10" i="2"/>
  <c r="AD10" i="2"/>
  <c r="AD12" i="2"/>
  <c r="AB7" i="2"/>
  <c r="AB4" i="2"/>
  <c r="AA20" i="2"/>
  <c r="AA15" i="2"/>
  <c r="R11" i="2"/>
  <c r="R9" i="2"/>
  <c r="C4" i="1"/>
  <c r="C3" i="1"/>
  <c r="E5" i="1"/>
  <c r="F4" i="1" s="1"/>
  <c r="Q12" i="2"/>
  <c r="Q10" i="2"/>
  <c r="Q7" i="2"/>
  <c r="AC7" i="2"/>
  <c r="AD7" i="2"/>
  <c r="Q4" i="2"/>
  <c r="M27" i="2"/>
  <c r="M24" i="2"/>
  <c r="M22" i="2"/>
  <c r="M19" i="2"/>
  <c r="M18" i="2"/>
  <c r="M17" i="2"/>
  <c r="M16" i="2"/>
  <c r="M14" i="2"/>
  <c r="M13" i="2"/>
  <c r="AC4" i="2"/>
  <c r="AD4" i="2"/>
  <c r="Q27" i="2"/>
  <c r="Q24" i="2"/>
  <c r="Q22" i="2"/>
  <c r="Q19" i="2"/>
  <c r="Q18" i="2"/>
  <c r="Q17" i="2"/>
  <c r="Q16" i="2"/>
  <c r="Q14" i="2"/>
  <c r="Q13" i="2"/>
  <c r="Q35" i="2" s="1"/>
  <c r="J37" i="2"/>
  <c r="J20" i="2"/>
  <c r="J15" i="2"/>
  <c r="N37" i="2"/>
  <c r="N20" i="2"/>
  <c r="N15" i="2"/>
  <c r="K37" i="2"/>
  <c r="K20" i="2"/>
  <c r="K15" i="2"/>
  <c r="O37" i="2"/>
  <c r="O20" i="2"/>
  <c r="O15" i="2"/>
  <c r="O29" i="2" s="1"/>
  <c r="L37" i="2"/>
  <c r="L20" i="2"/>
  <c r="L15" i="2"/>
  <c r="P37" i="2"/>
  <c r="P20" i="2"/>
  <c r="P15" i="2"/>
  <c r="AB37" i="2"/>
  <c r="AB20" i="2"/>
  <c r="AB15" i="2"/>
  <c r="AC37" i="2"/>
  <c r="AC20" i="2"/>
  <c r="AC15" i="2"/>
  <c r="AD37" i="2"/>
  <c r="AD20" i="2"/>
  <c r="AD15" i="2"/>
  <c r="L5" i="1"/>
  <c r="AQ46" i="2" s="1"/>
  <c r="C5" i="1" l="1"/>
  <c r="D4" i="1" s="1"/>
  <c r="AP39" i="2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I39" i="2" s="1"/>
  <c r="CJ39" i="2" s="1"/>
  <c r="CK39" i="2" s="1"/>
  <c r="CL39" i="2" s="1"/>
  <c r="CM39" i="2" s="1"/>
  <c r="CN39" i="2" s="1"/>
  <c r="CO39" i="2" s="1"/>
  <c r="CP39" i="2" s="1"/>
  <c r="CQ39" i="2" s="1"/>
  <c r="CR39" i="2" s="1"/>
  <c r="CS39" i="2" s="1"/>
  <c r="CT39" i="2" s="1"/>
  <c r="CU39" i="2" s="1"/>
  <c r="CV39" i="2" s="1"/>
  <c r="CW39" i="2" s="1"/>
  <c r="CX39" i="2" s="1"/>
  <c r="CY39" i="2" s="1"/>
  <c r="CZ39" i="2" s="1"/>
  <c r="DA39" i="2" s="1"/>
  <c r="DB39" i="2" s="1"/>
  <c r="DC39" i="2" s="1"/>
  <c r="DD39" i="2" s="1"/>
  <c r="DE39" i="2" s="1"/>
  <c r="DF39" i="2" s="1"/>
  <c r="DG39" i="2" s="1"/>
  <c r="DH39" i="2" s="1"/>
  <c r="DI39" i="2" s="1"/>
  <c r="DJ39" i="2" s="1"/>
  <c r="DK39" i="2" s="1"/>
  <c r="DL39" i="2" s="1"/>
  <c r="DM39" i="2" s="1"/>
  <c r="DN39" i="2" s="1"/>
  <c r="DO39" i="2" s="1"/>
  <c r="DP39" i="2" s="1"/>
  <c r="DQ39" i="2" s="1"/>
  <c r="DR39" i="2" s="1"/>
  <c r="DS39" i="2" s="1"/>
  <c r="DT39" i="2" s="1"/>
  <c r="DU39" i="2" s="1"/>
  <c r="DV39" i="2" s="1"/>
  <c r="DW39" i="2" s="1"/>
  <c r="DX39" i="2" s="1"/>
  <c r="DY39" i="2" s="1"/>
  <c r="DZ39" i="2" s="1"/>
  <c r="EA39" i="2" s="1"/>
  <c r="EB39" i="2" s="1"/>
  <c r="EC39" i="2" s="1"/>
  <c r="ED39" i="2" s="1"/>
  <c r="EE39" i="2" s="1"/>
  <c r="EF39" i="2" s="1"/>
  <c r="EG39" i="2" s="1"/>
  <c r="EH39" i="2" s="1"/>
  <c r="EI39" i="2" s="1"/>
  <c r="EJ39" i="2" s="1"/>
  <c r="EK39" i="2" s="1"/>
  <c r="AF39" i="2"/>
  <c r="AG39" i="2" s="1"/>
  <c r="AH39" i="2" s="1"/>
  <c r="AI39" i="2" s="1"/>
  <c r="AJ39" i="2" s="1"/>
  <c r="AK39" i="2" s="1"/>
  <c r="AL39" i="2" s="1"/>
  <c r="AM39" i="2" s="1"/>
  <c r="AN39" i="2" s="1"/>
  <c r="AD41" i="2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C39" i="2"/>
  <c r="AC41" i="2"/>
  <c r="L41" i="2"/>
  <c r="P41" i="2"/>
  <c r="AA21" i="2"/>
  <c r="AA30" i="2" s="1"/>
  <c r="AA29" i="2"/>
  <c r="F3" i="1"/>
  <c r="M15" i="2"/>
  <c r="M29" i="2" s="1"/>
  <c r="M20" i="2"/>
  <c r="M37" i="2"/>
  <c r="Q15" i="2"/>
  <c r="Q29" i="2" s="1"/>
  <c r="Q20" i="2"/>
  <c r="AD21" i="2"/>
  <c r="AD30" i="2" s="1"/>
  <c r="Q37" i="2"/>
  <c r="AD29" i="2"/>
  <c r="J21" i="2"/>
  <c r="J23" i="2" s="1"/>
  <c r="J29" i="2"/>
  <c r="N21" i="2"/>
  <c r="N23" i="2" s="1"/>
  <c r="N29" i="2"/>
  <c r="K21" i="2"/>
  <c r="K23" i="2" s="1"/>
  <c r="K29" i="2"/>
  <c r="O21" i="2"/>
  <c r="O30" i="2" s="1"/>
  <c r="L21" i="2"/>
  <c r="L30" i="2" s="1"/>
  <c r="L29" i="2"/>
  <c r="P21" i="2"/>
  <c r="P23" i="2" s="1"/>
  <c r="P29" i="2"/>
  <c r="AB21" i="2"/>
  <c r="AB30" i="2" s="1"/>
  <c r="AB29" i="2"/>
  <c r="AC21" i="2"/>
  <c r="AC30" i="2" s="1"/>
  <c r="AC29" i="2"/>
  <c r="L4" i="1"/>
  <c r="L7" i="1" s="1"/>
  <c r="L9" i="1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3" i="1" l="1"/>
  <c r="AQ45" i="2"/>
  <c r="AQ47" i="2" s="1"/>
  <c r="AQ48" i="2" s="1"/>
  <c r="AQ50" i="2" s="1"/>
  <c r="AA23" i="2"/>
  <c r="AA32" i="2" s="1"/>
  <c r="AD23" i="2"/>
  <c r="Q21" i="2"/>
  <c r="M21" i="2"/>
  <c r="M23" i="2" s="1"/>
  <c r="M25" i="2" s="1"/>
  <c r="M31" i="2" s="1"/>
  <c r="K30" i="2"/>
  <c r="L23" i="2"/>
  <c r="L32" i="2" s="1"/>
  <c r="AD25" i="2"/>
  <c r="AD32" i="2"/>
  <c r="Q30" i="2"/>
  <c r="Q23" i="2"/>
  <c r="J30" i="2"/>
  <c r="J32" i="2"/>
  <c r="J25" i="2"/>
  <c r="N30" i="2"/>
  <c r="N32" i="2"/>
  <c r="N25" i="2"/>
  <c r="K32" i="2"/>
  <c r="K25" i="2"/>
  <c r="O23" i="2"/>
  <c r="O32" i="2" s="1"/>
  <c r="L25" i="2"/>
  <c r="P30" i="2"/>
  <c r="P32" i="2"/>
  <c r="P25" i="2"/>
  <c r="AB23" i="2"/>
  <c r="AB32" i="2" s="1"/>
  <c r="AC23" i="2"/>
  <c r="AC25" i="2" s="1"/>
  <c r="AA25" i="2" l="1"/>
  <c r="AA26" i="2" s="1"/>
  <c r="M30" i="2"/>
  <c r="M32" i="2"/>
  <c r="M26" i="2"/>
  <c r="Q25" i="2"/>
  <c r="Q32" i="2"/>
  <c r="AD26" i="2"/>
  <c r="AD31" i="2"/>
  <c r="J31" i="2"/>
  <c r="J26" i="2"/>
  <c r="N31" i="2"/>
  <c r="N26" i="2"/>
  <c r="K31" i="2"/>
  <c r="K26" i="2"/>
  <c r="O25" i="2"/>
  <c r="O31" i="2" s="1"/>
  <c r="L26" i="2"/>
  <c r="L31" i="2"/>
  <c r="P26" i="2"/>
  <c r="P31" i="2"/>
  <c r="AB25" i="2"/>
  <c r="AB31" i="2" s="1"/>
  <c r="AC32" i="2"/>
  <c r="AC26" i="2"/>
  <c r="AC31" i="2"/>
  <c r="AA31" i="2" l="1"/>
  <c r="O26" i="2"/>
  <c r="Q31" i="2"/>
  <c r="Q26" i="2"/>
  <c r="AB26" i="2"/>
  <c r="R13" i="2" l="1"/>
  <c r="R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R6" authorId="0" shapeId="0" xr:uid="{0C82AD79-49D4-4FBB-BCD9-0B46A35F6F4C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$9,000-$9150 million</t>
        </r>
      </text>
    </comment>
  </commentList>
</comments>
</file>

<file path=xl/sharedStrings.xml><?xml version="1.0" encoding="utf-8"?>
<sst xmlns="http://schemas.openxmlformats.org/spreadsheetml/2006/main" count="96" uniqueCount="88">
  <si>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</si>
  <si>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</si>
  <si>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</si>
  <si>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</si>
  <si>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</si>
  <si>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</si>
  <si>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</si>
  <si>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</si>
  <si>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</si>
  <si>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</si>
  <si>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</si>
  <si>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</si>
  <si>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</si>
  <si>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</si>
  <si>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</si>
  <si>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</si>
  <si>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</si>
  <si>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</si>
  <si>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</si>
  <si>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</si>
  <si>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</si>
  <si>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</si>
  <si>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</si>
  <si>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</si>
  <si>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</si>
  <si>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</si>
  <si>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</si>
  <si>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</si>
  <si>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</si>
  <si>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</si>
  <si>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</si>
  <si>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</si>
  <si>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</si>
  <si>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</si>
  <si>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</si>
  <si>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</si>
  <si>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</si>
  <si>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</si>
  <si>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S&amp;M</t>
  </si>
  <si>
    <t>G&amp;A</t>
  </si>
  <si>
    <t>Operations &amp; support</t>
  </si>
  <si>
    <t>Orders</t>
  </si>
  <si>
    <t>Orders y/y</t>
  </si>
  <si>
    <t>GTV</t>
  </si>
  <si>
    <t>GTV y/y</t>
  </si>
  <si>
    <t>Transaction revenue</t>
  </si>
  <si>
    <t>Advertising revenue</t>
  </si>
  <si>
    <t>Transaction</t>
  </si>
  <si>
    <t>Advertising &amp; other</t>
  </si>
  <si>
    <t>margin%</t>
  </si>
  <si>
    <t>Q125</t>
  </si>
  <si>
    <t>batch rate</t>
  </si>
  <si>
    <t>average time spent per order</t>
  </si>
  <si>
    <t>shopper tenure</t>
  </si>
  <si>
    <t>shopper pay optimization</t>
  </si>
  <si>
    <t>fulfillment options</t>
  </si>
  <si>
    <t>use of full-service shoppers</t>
  </si>
  <si>
    <t>IPO</t>
  </si>
  <si>
    <t>% of GTV</t>
  </si>
  <si>
    <t>Transaction margin</t>
  </si>
  <si>
    <t>Advertising margin</t>
  </si>
  <si>
    <t>CFFO</t>
  </si>
  <si>
    <t>CapEx</t>
  </si>
  <si>
    <t>FCF</t>
  </si>
  <si>
    <t>Terminal</t>
  </si>
  <si>
    <t>Discount</t>
  </si>
  <si>
    <t>NPV</t>
  </si>
  <si>
    <t>Value</t>
  </si>
  <si>
    <t>Current</t>
  </si>
  <si>
    <t>Change</t>
  </si>
  <si>
    <t>Net cash</t>
  </si>
  <si>
    <t>CEO</t>
  </si>
  <si>
    <t>Emily Reuter</t>
  </si>
  <si>
    <t>Fidji Simo</t>
  </si>
  <si>
    <t>CFO</t>
  </si>
  <si>
    <t>CTO</t>
  </si>
  <si>
    <t>Anirban Kundu</t>
  </si>
  <si>
    <t>Chris Rogers</t>
  </si>
  <si>
    <t>CBO</t>
  </si>
  <si>
    <t>Founded</t>
  </si>
  <si>
    <t>Apoorva Mehta</t>
  </si>
  <si>
    <t>Max Mullen</t>
  </si>
  <si>
    <t>Brandon Leonardo</t>
  </si>
  <si>
    <t>Uber Eats</t>
  </si>
  <si>
    <t>Doordash</t>
  </si>
  <si>
    <t>Spark Driver</t>
  </si>
  <si>
    <t>Grubhub</t>
  </si>
  <si>
    <t>Gig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</si>
</sst>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7" formatCode="d/mm/yy;@"/>
    <numFmt numFmtId="170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3" fontId="0" fillId="3" borderId="0" xfId="0" applyNumberFormat="1" applyFill="1"/>
    <xf numFmtId="9" fontId="0" fillId="3" borderId="0" xfId="0" applyNumberFormat="1" applyFill="1"/>
    <xf numFmtId="0" fontId="0" fillId="0" borderId="0" xfId="0" applyAlignment="1">
      <alignment horizontal="right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19050</xdr:rowOff>
    </xdr:from>
    <xdr:to>
      <xdr:col>17</xdr:col>
      <xdr:colOff>19050</xdr:colOff>
      <xdr:row>50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AAD7F14-A26C-B138-6602-BC6CA1F6D332}"/>
            </a:ext>
          </a:extLst>
        </xdr:cNvPr>
        <xdr:cNvCxnSpPr/>
      </xdr:nvCxnSpPr>
      <xdr:spPr>
        <a:xfrm>
          <a:off x="11029950" y="19050"/>
          <a:ext cx="0" cy="76200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0</xdr:row>
      <xdr:rowOff>0</xdr:rowOff>
    </xdr:from>
    <xdr:to>
      <xdr:col>30</xdr:col>
      <xdr:colOff>38100</xdr:colOff>
      <xdr:row>50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DBCB8E3-8823-4184-97D0-9922DB62E78D}"/>
            </a:ext>
          </a:extLst>
        </xdr:cNvPr>
        <xdr:cNvCxnSpPr/>
      </xdr:nvCxnSpPr>
      <xdr:spPr>
        <a:xfrm>
          <a:off x="182213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A0C-8C25-45CF-8FE5-29B6C9D8B47E}">
  <dimension ref="B2:L19"/>
  <sheetViews>
    <sheetView workbookViewId="0">
      <selection activeCell="H14" sqref="H14"/>
    </sheetView>
  </sheetViews>
  <sheetFormatPr defaultRowHeight="12.75" x14ac:dyDescent="0.2"/>
  <cols>
    <col min="1" max="1" width="3.140625" customWidth="1"/>
    <col min="2" max="2" width="16.7109375" bestFit="1" customWidth="1"/>
  </cols>
  <sheetData>
    <row r="2" spans="2:12" x14ac:dyDescent="0.2">
      <c r="B2" s="17" t="s">
        <v>0</v>
      </c>
      <c r="C2" s="18" t="s">
        <v>28</v>
      </c>
      <c r="D2" s="18" t="s">
        <v>49</v>
      </c>
      <c r="E2" s="18" t="s">
        <v>32</v>
      </c>
      <c r="F2" s="18" t="s">
        <v>49</v>
      </c>
      <c r="K2" t="s">
        <v>33</v>
      </c>
      <c r="L2">
        <v>38.57</v>
      </c>
    </row>
    <row r="3" spans="2:12" x14ac:dyDescent="0.2">
      <c r="B3" t="s">
        <v>47</v>
      </c>
      <c r="C3" s="1">
        <f>+E3*0.9</f>
        <v>554.4</v>
      </c>
      <c r="D3" s="4">
        <f>+C3/C5</f>
        <v>0.69762174405436006</v>
      </c>
      <c r="E3" s="1">
        <v>616</v>
      </c>
      <c r="F3" s="4">
        <f>+E3/E5</f>
        <v>0.69762174405436017</v>
      </c>
      <c r="K3" t="s">
        <v>11</v>
      </c>
      <c r="L3" s="1">
        <v>264.64227499999998</v>
      </c>
    </row>
    <row r="4" spans="2:12" x14ac:dyDescent="0.2">
      <c r="B4" t="s">
        <v>48</v>
      </c>
      <c r="C4" s="1">
        <f>+E4*0.9</f>
        <v>240.3</v>
      </c>
      <c r="D4" s="4">
        <f>+C4/C5</f>
        <v>0.30237825594563988</v>
      </c>
      <c r="E4" s="1">
        <v>267</v>
      </c>
      <c r="F4" s="4">
        <f>+E4/E5</f>
        <v>0.30237825594563988</v>
      </c>
      <c r="K4" t="s">
        <v>34</v>
      </c>
      <c r="L4" s="1">
        <f>+L2*L3</f>
        <v>10207.25254675</v>
      </c>
    </row>
    <row r="5" spans="2:12" x14ac:dyDescent="0.2">
      <c r="B5" s="19"/>
      <c r="C5" s="20">
        <f>+SUM(C3:C4)</f>
        <v>794.7</v>
      </c>
      <c r="D5" s="19"/>
      <c r="E5" s="20">
        <f>+SUM(E3:E4)</f>
        <v>883</v>
      </c>
      <c r="F5" s="21"/>
      <c r="K5" t="s">
        <v>35</v>
      </c>
      <c r="L5" s="1">
        <f>2137+49</f>
        <v>2186</v>
      </c>
    </row>
    <row r="6" spans="2:12" x14ac:dyDescent="0.2">
      <c r="K6" t="s">
        <v>36</v>
      </c>
      <c r="L6" s="1">
        <v>0</v>
      </c>
    </row>
    <row r="7" spans="2:12" x14ac:dyDescent="0.2">
      <c r="K7" t="s">
        <v>37</v>
      </c>
      <c r="L7" s="1">
        <f>+L4-L5</f>
        <v>8021.25254675</v>
      </c>
    </row>
    <row r="8" spans="2:12" x14ac:dyDescent="0.2">
      <c r="B8" t="s">
        <v>55</v>
      </c>
      <c r="L8">
        <v>770</v>
      </c>
    </row>
    <row r="9" spans="2:12" x14ac:dyDescent="0.2">
      <c r="B9" t="s">
        <v>56</v>
      </c>
      <c r="L9" s="23">
        <f>+L7/L8</f>
        <v>10.417211099675324</v>
      </c>
    </row>
    <row r="10" spans="2:12" x14ac:dyDescent="0.2">
      <c r="B10" t="s">
        <v>51</v>
      </c>
    </row>
    <row r="11" spans="2:12" x14ac:dyDescent="0.2">
      <c r="B11" t="s">
        <v>52</v>
      </c>
      <c r="K11" t="s">
        <v>57</v>
      </c>
      <c r="L11" s="22" t="s">
        <v>27</v>
      </c>
    </row>
    <row r="12" spans="2:12" x14ac:dyDescent="0.2">
      <c r="B12" t="s">
        <v>53</v>
      </c>
      <c r="L12" s="22"/>
    </row>
    <row r="13" spans="2:12" x14ac:dyDescent="0.2">
      <c r="B13" t="s">
        <v>54</v>
      </c>
      <c r="K13" t="s">
        <v>79</v>
      </c>
      <c r="L13" t="s">
        <v>80</v>
      </c>
    </row>
    <row r="14" spans="2:12" x14ac:dyDescent="0.2">
      <c r="L14" t="s">
        <v>81</v>
      </c>
    </row>
    <row r="15" spans="2:12" x14ac:dyDescent="0.2">
      <c r="B15" s="16" t="s">
        <v>87</v>
      </c>
      <c r="L15" t="s">
        <v>82</v>
      </c>
    </row>
    <row r="16" spans="2:12" x14ac:dyDescent="0.2">
      <c r="B16" t="s">
        <v>83</v>
      </c>
      <c r="K16" t="s">
        <v>71</v>
      </c>
      <c r="L16" t="s">
        <v>73</v>
      </c>
    </row>
    <row r="17" spans="2:12" x14ac:dyDescent="0.2">
      <c r="B17" t="s">
        <v>84</v>
      </c>
      <c r="K17" t="s">
        <v>74</v>
      </c>
      <c r="L17" t="s">
        <v>72</v>
      </c>
    </row>
    <row r="18" spans="2:12" x14ac:dyDescent="0.2">
      <c r="B18" t="s">
        <v>85</v>
      </c>
      <c r="K18" t="s">
        <v>75</v>
      </c>
      <c r="L18" t="s">
        <v>76</v>
      </c>
    </row>
    <row r="19" spans="2:12" x14ac:dyDescent="0.2">
      <c r="B19" t="s">
        <v>86</v>
      </c>
      <c r="K19" t="s">
        <v>78</v>
      </c>
      <c r="L19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7C1-2CA6-48D9-8DBC-4A18DDDD56C7}">
  <dimension ref="A1:EK50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U12" sqref="U12"/>
    </sheetView>
  </sheetViews>
  <sheetFormatPr defaultRowHeight="12.75" x14ac:dyDescent="0.2"/>
  <cols>
    <col min="1" max="1" width="18.85546875" style="1" bestFit="1" customWidth="1"/>
    <col min="2" max="16" width="9.140625" style="1"/>
    <col min="17" max="18" width="9.140625" style="1" customWidth="1"/>
    <col min="19" max="29" width="9.140625" style="1"/>
    <col min="30" max="30" width="9.140625" style="1" customWidth="1"/>
    <col min="31" max="42" width="9.140625" style="1"/>
    <col min="43" max="43" width="9.7109375" style="1" bestFit="1" customWidth="1"/>
    <col min="44" max="16384" width="9.140625" style="1"/>
  </cols>
  <sheetData>
    <row r="1" spans="1:40" s="9" customFormat="1" x14ac:dyDescent="0.2">
      <c r="J1" s="9">
        <v>45016</v>
      </c>
      <c r="K1" s="9">
        <v>45107</v>
      </c>
      <c r="L1" s="9">
        <v>45199</v>
      </c>
      <c r="M1" s="9">
        <v>45291</v>
      </c>
      <c r="N1" s="9">
        <v>45382</v>
      </c>
      <c r="O1" s="9">
        <v>45473</v>
      </c>
      <c r="P1" s="9">
        <v>45565</v>
      </c>
      <c r="Q1" s="9">
        <v>45657</v>
      </c>
    </row>
    <row r="2" spans="1:40" x14ac:dyDescent="0.2">
      <c r="A2" s="3"/>
      <c r="B2" s="3" t="s">
        <v>17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18</v>
      </c>
      <c r="H2" s="3" t="s">
        <v>19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R2" s="3" t="s">
        <v>50</v>
      </c>
      <c r="T2" s="2">
        <v>2014</v>
      </c>
      <c r="U2" s="2">
        <f>+T2+1</f>
        <v>2015</v>
      </c>
      <c r="V2" s="2">
        <f t="shared" ref="V2:AO2" si="0">+U2+1</f>
        <v>2016</v>
      </c>
      <c r="W2" s="2">
        <f t="shared" si="0"/>
        <v>2017</v>
      </c>
      <c r="X2" s="2">
        <f t="shared" si="0"/>
        <v>2018</v>
      </c>
      <c r="Y2" s="2">
        <f t="shared" si="0"/>
        <v>2019</v>
      </c>
      <c r="Z2" s="2">
        <f t="shared" si="0"/>
        <v>2020</v>
      </c>
      <c r="AA2" s="2">
        <f t="shared" si="0"/>
        <v>2021</v>
      </c>
      <c r="AB2" s="2">
        <f t="shared" si="0"/>
        <v>2022</v>
      </c>
      <c r="AC2" s="2">
        <f t="shared" si="0"/>
        <v>2023</v>
      </c>
      <c r="AD2" s="2">
        <f t="shared" si="0"/>
        <v>2024</v>
      </c>
      <c r="AE2" s="2">
        <f t="shared" si="0"/>
        <v>2025</v>
      </c>
      <c r="AF2" s="2">
        <f t="shared" si="0"/>
        <v>2026</v>
      </c>
      <c r="AG2" s="2">
        <f t="shared" si="0"/>
        <v>2027</v>
      </c>
      <c r="AH2" s="2">
        <f t="shared" si="0"/>
        <v>2028</v>
      </c>
      <c r="AI2" s="2">
        <f t="shared" si="0"/>
        <v>2029</v>
      </c>
      <c r="AJ2" s="2">
        <f t="shared" si="0"/>
        <v>2030</v>
      </c>
      <c r="AK2" s="2">
        <f t="shared" si="0"/>
        <v>2031</v>
      </c>
      <c r="AL2" s="2">
        <f t="shared" si="0"/>
        <v>2032</v>
      </c>
      <c r="AM2" s="2">
        <f t="shared" si="0"/>
        <v>2033</v>
      </c>
      <c r="AN2" s="2">
        <f t="shared" si="0"/>
        <v>2034</v>
      </c>
    </row>
    <row r="3" spans="1:40" s="5" customFormat="1" x14ac:dyDescent="0.2">
      <c r="A3" s="12" t="s">
        <v>41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>
        <v>70.099999999999994</v>
      </c>
      <c r="N3" s="13"/>
      <c r="O3" s="13"/>
      <c r="P3" s="13"/>
      <c r="Q3" s="13">
        <v>77.5</v>
      </c>
      <c r="R3" s="13"/>
      <c r="AA3" s="5">
        <v>223.4</v>
      </c>
      <c r="AB3" s="5">
        <v>262.60000000000002</v>
      </c>
      <c r="AC3" s="5">
        <v>269.2</v>
      </c>
      <c r="AD3" s="5">
        <v>294</v>
      </c>
    </row>
    <row r="4" spans="1:40" s="4" customFormat="1" x14ac:dyDescent="0.2">
      <c r="A4" s="14" t="s">
        <v>42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>
        <f>+Q3/M3-1</f>
        <v>0.10556348074179756</v>
      </c>
      <c r="R4" s="15"/>
      <c r="AB4" s="4">
        <f>+AB3/AA3-1</f>
        <v>0.1754700089525516</v>
      </c>
      <c r="AC4" s="4">
        <f>+AC3/AB3-1</f>
        <v>2.5133282559024916E-2</v>
      </c>
      <c r="AD4" s="4">
        <f>+AD3/AC3-1</f>
        <v>9.2124814264487487E-2</v>
      </c>
    </row>
    <row r="5" spans="1:40" s="4" customFormat="1" x14ac:dyDescent="0.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40" x14ac:dyDescent="0.2">
      <c r="A6" s="11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v>7891</v>
      </c>
      <c r="N6" s="3"/>
      <c r="O6" s="3"/>
      <c r="P6" s="3"/>
      <c r="Q6" s="3">
        <v>8645</v>
      </c>
      <c r="R6" s="3">
        <v>9150</v>
      </c>
      <c r="AA6" s="1">
        <v>24909</v>
      </c>
      <c r="AB6" s="1">
        <v>28826</v>
      </c>
      <c r="AC6" s="1">
        <v>30322</v>
      </c>
      <c r="AD6" s="1">
        <v>33461</v>
      </c>
    </row>
    <row r="7" spans="1:40" s="4" customFormat="1" x14ac:dyDescent="0.2">
      <c r="A7" s="14" t="s">
        <v>44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>
        <f>+Q6/M6-1</f>
        <v>9.5551894563426609E-2</v>
      </c>
      <c r="R7" s="15"/>
      <c r="AB7" s="4">
        <f>+AB6/AA6-1</f>
        <v>0.1572523987313823</v>
      </c>
      <c r="AC7" s="4">
        <f>+AC6/AB6-1</f>
        <v>5.1897592451259245E-2</v>
      </c>
      <c r="AD7" s="4">
        <f>+AD6/AC6-1</f>
        <v>0.1035221951058638</v>
      </c>
    </row>
    <row r="8" spans="1:40" s="4" customFormat="1" x14ac:dyDescent="0.2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40" x14ac:dyDescent="0.2">
      <c r="A9" s="11" t="s">
        <v>45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v>616</v>
      </c>
      <c r="R9" s="3">
        <f>+R6*R10</f>
        <v>640.50000000000011</v>
      </c>
      <c r="AA9" s="1">
        <v>1262</v>
      </c>
      <c r="AB9" s="1">
        <v>1811</v>
      </c>
      <c r="AC9" s="1">
        <v>2171</v>
      </c>
      <c r="AD9" s="1">
        <v>2420</v>
      </c>
    </row>
    <row r="10" spans="1:40" s="4" customFormat="1" x14ac:dyDescent="0.2">
      <c r="A10" s="14" t="s">
        <v>58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>
        <f>+Q9/Q6</f>
        <v>7.1255060728744934E-2</v>
      </c>
      <c r="R10" s="15">
        <v>7.0000000000000007E-2</v>
      </c>
      <c r="AA10" s="15">
        <f t="shared" ref="AA10:AC10" si="1">+AA9/AA6</f>
        <v>5.0664418483279135E-2</v>
      </c>
      <c r="AB10" s="15">
        <f t="shared" si="1"/>
        <v>6.2825227225421498E-2</v>
      </c>
      <c r="AC10" s="15">
        <f t="shared" si="1"/>
        <v>7.1598179539608203E-2</v>
      </c>
      <c r="AD10" s="15">
        <f>+AD9/AD6</f>
        <v>7.2323002898897218E-2</v>
      </c>
    </row>
    <row r="11" spans="1:40" x14ac:dyDescent="0.2">
      <c r="A11" s="11" t="s">
        <v>46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267</v>
      </c>
      <c r="R11" s="3">
        <f>+R6*R12</f>
        <v>274.5</v>
      </c>
      <c r="AA11" s="1">
        <v>572</v>
      </c>
      <c r="AB11" s="1">
        <v>740</v>
      </c>
      <c r="AC11" s="1">
        <v>871</v>
      </c>
      <c r="AD11" s="1">
        <v>958</v>
      </c>
    </row>
    <row r="12" spans="1:40" s="4" customFormat="1" x14ac:dyDescent="0.2">
      <c r="A12" s="14" t="s">
        <v>58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>
        <f>+Q11/Q6</f>
        <v>3.0884904569115097E-2</v>
      </c>
      <c r="R12" s="15">
        <v>0.03</v>
      </c>
      <c r="AA12" s="15">
        <f t="shared" ref="AA12:AC12" si="2">+AA11/AA6</f>
        <v>2.2963587458348388E-2</v>
      </c>
      <c r="AB12" s="15">
        <f t="shared" si="2"/>
        <v>2.5671268993269963E-2</v>
      </c>
      <c r="AC12" s="15">
        <f t="shared" si="2"/>
        <v>2.8725018138645208E-2</v>
      </c>
      <c r="AD12" s="15">
        <f>+AD11/AD6</f>
        <v>2.8630345775679147E-2</v>
      </c>
    </row>
    <row r="13" spans="1:40" s="7" customFormat="1" x14ac:dyDescent="0.2">
      <c r="A13" s="7" t="s">
        <v>0</v>
      </c>
      <c r="J13" s="7">
        <v>759</v>
      </c>
      <c r="K13" s="7">
        <v>716</v>
      </c>
      <c r="L13" s="7">
        <v>764</v>
      </c>
      <c r="M13" s="7">
        <f>+AC13-SUM(J13:L13)</f>
        <v>803</v>
      </c>
      <c r="N13" s="7">
        <v>820</v>
      </c>
      <c r="O13" s="7">
        <v>823</v>
      </c>
      <c r="P13" s="7">
        <v>852</v>
      </c>
      <c r="Q13" s="7">
        <f>+AD13-SUM(N13:P13)</f>
        <v>883</v>
      </c>
      <c r="R13" s="7">
        <f>+R11+R9</f>
        <v>915.00000000000011</v>
      </c>
      <c r="AA13" s="7">
        <v>1834</v>
      </c>
      <c r="AB13" s="7">
        <v>2551</v>
      </c>
      <c r="AC13" s="7">
        <v>3042</v>
      </c>
      <c r="AD13" s="7">
        <v>3378</v>
      </c>
    </row>
    <row r="14" spans="1:40" x14ac:dyDescent="0.2">
      <c r="A14" s="1" t="s">
        <v>1</v>
      </c>
      <c r="J14" s="1">
        <v>177</v>
      </c>
      <c r="K14" s="1">
        <v>189</v>
      </c>
      <c r="L14" s="1">
        <v>203</v>
      </c>
      <c r="M14" s="10">
        <f>+AC14-SUM(J14:L14)</f>
        <v>195</v>
      </c>
      <c r="N14" s="1">
        <v>206</v>
      </c>
      <c r="O14" s="1">
        <v>200</v>
      </c>
      <c r="P14" s="1">
        <v>211</v>
      </c>
      <c r="Q14" s="10">
        <f>+AD14-SUM(N14:P14)</f>
        <v>219</v>
      </c>
      <c r="R14" s="10"/>
      <c r="AA14" s="1">
        <v>608</v>
      </c>
      <c r="AB14" s="1">
        <v>720</v>
      </c>
      <c r="AC14" s="1">
        <v>764</v>
      </c>
      <c r="AD14" s="1">
        <v>836</v>
      </c>
    </row>
    <row r="15" spans="1:40" x14ac:dyDescent="0.2">
      <c r="A15" s="1" t="s">
        <v>2</v>
      </c>
      <c r="J15" s="1">
        <f>+J13-J14</f>
        <v>582</v>
      </c>
      <c r="K15" s="1">
        <f>+K13-K14</f>
        <v>527</v>
      </c>
      <c r="L15" s="1">
        <f>+L13-L14</f>
        <v>561</v>
      </c>
      <c r="M15" s="1">
        <f>+M13-M14</f>
        <v>608</v>
      </c>
      <c r="N15" s="1">
        <f>+N13-N14</f>
        <v>614</v>
      </c>
      <c r="O15" s="1">
        <f>+O13-O14</f>
        <v>623</v>
      </c>
      <c r="P15" s="1">
        <f>+P13-P14</f>
        <v>641</v>
      </c>
      <c r="Q15" s="1">
        <f>+Q13-Q14</f>
        <v>664</v>
      </c>
      <c r="AA15" s="1">
        <f>+AA13-AA14</f>
        <v>1226</v>
      </c>
      <c r="AB15" s="1">
        <f>+AB13-AB14</f>
        <v>1831</v>
      </c>
      <c r="AC15" s="1">
        <f>+AC13-AC14</f>
        <v>2278</v>
      </c>
      <c r="AD15" s="1">
        <f>+AD13-AD14</f>
        <v>2542</v>
      </c>
    </row>
    <row r="16" spans="1:40" x14ac:dyDescent="0.2">
      <c r="A16" s="1" t="s">
        <v>40</v>
      </c>
      <c r="J16" s="1">
        <v>67</v>
      </c>
      <c r="K16" s="1">
        <v>61</v>
      </c>
      <c r="L16" s="1">
        <v>145</v>
      </c>
      <c r="M16" s="10">
        <f t="shared" ref="M16:M19" si="3">+AC16-SUM(J16:L16)</f>
        <v>71</v>
      </c>
      <c r="N16" s="1">
        <v>73</v>
      </c>
      <c r="O16" s="1">
        <v>69</v>
      </c>
      <c r="P16" s="1">
        <v>64</v>
      </c>
      <c r="Q16" s="10">
        <f t="shared" ref="Q16:Q19" si="4">+AD16-SUM(N16:P16)</f>
        <v>72</v>
      </c>
      <c r="R16" s="10"/>
      <c r="AA16" s="1">
        <v>262</v>
      </c>
      <c r="AB16" s="1">
        <v>252</v>
      </c>
      <c r="AC16" s="1">
        <v>344</v>
      </c>
      <c r="AD16" s="1">
        <v>278</v>
      </c>
    </row>
    <row r="17" spans="1:30" x14ac:dyDescent="0.2">
      <c r="A17" s="1" t="s">
        <v>3</v>
      </c>
      <c r="J17" s="1">
        <v>127</v>
      </c>
      <c r="K17" s="1">
        <v>130</v>
      </c>
      <c r="L17" s="1">
        <v>1850</v>
      </c>
      <c r="M17" s="10">
        <f t="shared" si="3"/>
        <v>205</v>
      </c>
      <c r="N17" s="1">
        <v>115</v>
      </c>
      <c r="O17" s="1">
        <v>185</v>
      </c>
      <c r="P17" s="1">
        <v>149</v>
      </c>
      <c r="Q17" s="10">
        <f t="shared" si="4"/>
        <v>155</v>
      </c>
      <c r="R17" s="10"/>
      <c r="AA17" s="1">
        <v>368</v>
      </c>
      <c r="AB17" s="1">
        <v>518</v>
      </c>
      <c r="AC17" s="1">
        <v>2312</v>
      </c>
      <c r="AD17" s="1">
        <v>604</v>
      </c>
    </row>
    <row r="18" spans="1:30" x14ac:dyDescent="0.2">
      <c r="A18" s="1" t="s">
        <v>38</v>
      </c>
      <c r="J18" s="1">
        <v>161</v>
      </c>
      <c r="K18" s="1">
        <v>166</v>
      </c>
      <c r="L18" s="1">
        <v>455</v>
      </c>
      <c r="M18" s="10">
        <f t="shared" si="3"/>
        <v>179</v>
      </c>
      <c r="N18" s="1">
        <v>184</v>
      </c>
      <c r="O18" s="1">
        <v>203</v>
      </c>
      <c r="P18" s="1">
        <v>213</v>
      </c>
      <c r="Q18" s="10">
        <f t="shared" si="4"/>
        <v>208</v>
      </c>
      <c r="R18" s="10"/>
      <c r="AA18" s="1">
        <v>394</v>
      </c>
      <c r="AB18" s="1">
        <v>660</v>
      </c>
      <c r="AC18" s="1">
        <v>961</v>
      </c>
      <c r="AD18" s="1">
        <v>808</v>
      </c>
    </row>
    <row r="19" spans="1:30" x14ac:dyDescent="0.2">
      <c r="A19" s="1" t="s">
        <v>39</v>
      </c>
      <c r="J19" s="1">
        <v>77</v>
      </c>
      <c r="K19" s="1">
        <v>51</v>
      </c>
      <c r="L19" s="1">
        <v>568</v>
      </c>
      <c r="M19" s="10">
        <f t="shared" si="3"/>
        <v>107</v>
      </c>
      <c r="N19" s="1">
        <v>98</v>
      </c>
      <c r="O19" s="1">
        <v>114</v>
      </c>
      <c r="P19" s="1">
        <v>77</v>
      </c>
      <c r="Q19" s="10">
        <f t="shared" si="4"/>
        <v>74</v>
      </c>
      <c r="R19" s="10"/>
      <c r="AA19" s="1">
        <v>288</v>
      </c>
      <c r="AB19" s="1">
        <v>339</v>
      </c>
      <c r="AC19" s="1">
        <v>803</v>
      </c>
      <c r="AD19" s="1">
        <v>363</v>
      </c>
    </row>
    <row r="20" spans="1:30" x14ac:dyDescent="0.2">
      <c r="A20" s="1" t="s">
        <v>4</v>
      </c>
      <c r="J20" s="1">
        <f>+SUM(J16:J19)</f>
        <v>432</v>
      </c>
      <c r="K20" s="1">
        <f>+SUM(K16:K19)</f>
        <v>408</v>
      </c>
      <c r="L20" s="1">
        <f>+SUM(L16:L19)</f>
        <v>3018</v>
      </c>
      <c r="M20" s="1">
        <f>+SUM(M16:M19)</f>
        <v>562</v>
      </c>
      <c r="N20" s="1">
        <f>+SUM(N16:N19)</f>
        <v>470</v>
      </c>
      <c r="O20" s="1">
        <f>+SUM(O16:O19)</f>
        <v>571</v>
      </c>
      <c r="P20" s="1">
        <f>+SUM(P16:P19)</f>
        <v>503</v>
      </c>
      <c r="Q20" s="1">
        <f>+SUM(Q16:Q19)</f>
        <v>509</v>
      </c>
      <c r="AA20" s="1">
        <f>+SUM(AA16:AA19)</f>
        <v>1312</v>
      </c>
      <c r="AB20" s="1">
        <f>+SUM(AB16:AB19)</f>
        <v>1769</v>
      </c>
      <c r="AC20" s="1">
        <f>+SUM(AC16:AC19)</f>
        <v>4420</v>
      </c>
      <c r="AD20" s="1">
        <f>+SUM(AD16:AD19)</f>
        <v>2053</v>
      </c>
    </row>
    <row r="21" spans="1:30" x14ac:dyDescent="0.2">
      <c r="A21" s="1" t="s">
        <v>5</v>
      </c>
      <c r="J21" s="1">
        <f>+J15-J20</f>
        <v>150</v>
      </c>
      <c r="K21" s="1">
        <f>+K15-K20</f>
        <v>119</v>
      </c>
      <c r="L21" s="1">
        <f>+L15-L20</f>
        <v>-2457</v>
      </c>
      <c r="M21" s="1">
        <f>+M15-M20</f>
        <v>46</v>
      </c>
      <c r="N21" s="1">
        <f>+N15-N20</f>
        <v>144</v>
      </c>
      <c r="O21" s="1">
        <f>+O15-O20</f>
        <v>52</v>
      </c>
      <c r="P21" s="1">
        <f>+P15-P20</f>
        <v>138</v>
      </c>
      <c r="Q21" s="1">
        <f>+Q15-Q20</f>
        <v>155</v>
      </c>
      <c r="AA21" s="1">
        <f>+AA15-AA20</f>
        <v>-86</v>
      </c>
      <c r="AB21" s="1">
        <f>+AB15-AB20</f>
        <v>62</v>
      </c>
      <c r="AC21" s="1">
        <f>+AC15-AC20</f>
        <v>-2142</v>
      </c>
      <c r="AD21" s="1">
        <f>+AD15-AD20</f>
        <v>489</v>
      </c>
    </row>
    <row r="22" spans="1:30" x14ac:dyDescent="0.2">
      <c r="A22" s="1" t="s">
        <v>6</v>
      </c>
      <c r="J22" s="1">
        <v>14</v>
      </c>
      <c r="K22" s="1">
        <v>20</v>
      </c>
      <c r="L22" s="1">
        <v>23</v>
      </c>
      <c r="M22" s="10">
        <f t="shared" ref="M22:M24" si="5">+AC22-SUM(J22:L22)</f>
        <v>24</v>
      </c>
      <c r="N22" s="1">
        <v>22</v>
      </c>
      <c r="O22" s="1">
        <v>17</v>
      </c>
      <c r="P22" s="1">
        <v>15</v>
      </c>
      <c r="Q22" s="10">
        <f t="shared" ref="Q22:Q24" si="6">+AD22-SUM(N22:P22)</f>
        <v>12</v>
      </c>
      <c r="R22" s="10"/>
      <c r="AA22" s="1">
        <v>2</v>
      </c>
      <c r="AB22" s="1">
        <v>17</v>
      </c>
      <c r="AC22" s="1">
        <v>81</v>
      </c>
      <c r="AD22" s="1">
        <v>66</v>
      </c>
    </row>
    <row r="23" spans="1:30" x14ac:dyDescent="0.2">
      <c r="A23" s="1" t="s">
        <v>7</v>
      </c>
      <c r="J23" s="1">
        <f>+J21+J22</f>
        <v>164</v>
      </c>
      <c r="K23" s="1">
        <f>+K21+K22</f>
        <v>139</v>
      </c>
      <c r="L23" s="1">
        <f>+L21+L22</f>
        <v>-2434</v>
      </c>
      <c r="M23" s="1">
        <f>+M21+M22</f>
        <v>70</v>
      </c>
      <c r="N23" s="1">
        <f>+N21+N22</f>
        <v>166</v>
      </c>
      <c r="O23" s="1">
        <f>+O21+O22</f>
        <v>69</v>
      </c>
      <c r="P23" s="1">
        <f>+P21+P22</f>
        <v>153</v>
      </c>
      <c r="Q23" s="1">
        <f>+Q21+Q22</f>
        <v>167</v>
      </c>
      <c r="AA23" s="1">
        <f>+AA21+AA22</f>
        <v>-84</v>
      </c>
      <c r="AB23" s="1">
        <f>+AB21+AB22</f>
        <v>79</v>
      </c>
      <c r="AC23" s="1">
        <f>+AC21+AC22</f>
        <v>-2061</v>
      </c>
      <c r="AD23" s="1">
        <f>+AD21+AD22</f>
        <v>555</v>
      </c>
    </row>
    <row r="24" spans="1:30" x14ac:dyDescent="0.2">
      <c r="A24" s="1" t="s">
        <v>8</v>
      </c>
      <c r="J24" s="1">
        <v>36</v>
      </c>
      <c r="K24" s="1">
        <v>28</v>
      </c>
      <c r="L24" s="1">
        <v>-440</v>
      </c>
      <c r="M24" s="10">
        <f t="shared" si="5"/>
        <v>-63</v>
      </c>
      <c r="N24" s="1">
        <v>35</v>
      </c>
      <c r="O24" s="1">
        <v>7</v>
      </c>
      <c r="P24" s="1">
        <v>35</v>
      </c>
      <c r="Q24" s="10">
        <f t="shared" si="6"/>
        <v>18</v>
      </c>
      <c r="R24" s="10"/>
      <c r="AA24" s="1">
        <v>1</v>
      </c>
      <c r="AB24" s="1">
        <v>-357</v>
      </c>
      <c r="AC24" s="1">
        <v>-439</v>
      </c>
      <c r="AD24" s="1">
        <v>95</v>
      </c>
    </row>
    <row r="25" spans="1:30" x14ac:dyDescent="0.2">
      <c r="A25" s="1" t="s">
        <v>9</v>
      </c>
      <c r="J25" s="1">
        <f>+J23-J24</f>
        <v>128</v>
      </c>
      <c r="K25" s="1">
        <f>+K23-K24</f>
        <v>111</v>
      </c>
      <c r="L25" s="1">
        <f>+L23-L24</f>
        <v>-1994</v>
      </c>
      <c r="M25" s="1">
        <f>+M23-M24</f>
        <v>133</v>
      </c>
      <c r="N25" s="1">
        <f>+N23-N24</f>
        <v>131</v>
      </c>
      <c r="O25" s="1">
        <f>+O23-O24</f>
        <v>62</v>
      </c>
      <c r="P25" s="1">
        <f>+P23-P24</f>
        <v>118</v>
      </c>
      <c r="Q25" s="1">
        <f>+Q23-Q24</f>
        <v>149</v>
      </c>
      <c r="AA25" s="1">
        <f>+AA23-AA24</f>
        <v>-85</v>
      </c>
      <c r="AB25" s="1">
        <f>+AB23-AB24</f>
        <v>436</v>
      </c>
      <c r="AC25" s="1">
        <f>+AC23-AC24</f>
        <v>-1622</v>
      </c>
      <c r="AD25" s="1">
        <f>+AD23-AD24</f>
        <v>460</v>
      </c>
    </row>
    <row r="26" spans="1:30" s="6" customFormat="1" x14ac:dyDescent="0.2">
      <c r="A26" s="6" t="s">
        <v>10</v>
      </c>
      <c r="J26" s="6">
        <f>+J25/J27</f>
        <v>1.773368985438978</v>
      </c>
      <c r="K26" s="6">
        <f>+K25/K27</f>
        <v>1.5359920294467659</v>
      </c>
      <c r="L26" s="6">
        <f>+L25/L27</f>
        <v>-20.806377561667851</v>
      </c>
      <c r="M26" s="6">
        <f>+M25/M27</f>
        <v>1.6605557659573582</v>
      </c>
      <c r="N26" s="6">
        <f>+N25/N27</f>
        <v>0.43359393100891686</v>
      </c>
      <c r="O26" s="6">
        <f>+O25/O27</f>
        <v>0.2165893465988486</v>
      </c>
      <c r="P26" s="6">
        <f>+P25/P27</f>
        <v>0.41992434244474258</v>
      </c>
      <c r="Q26" s="6">
        <f>+Q25/Q27</f>
        <v>0.51415655894684176</v>
      </c>
      <c r="AA26" s="6">
        <f>+AA25/AA27</f>
        <v>-1.2903421683820628</v>
      </c>
      <c r="AB26" s="6">
        <f>+AB25/AB27</f>
        <v>4.2964130863224277</v>
      </c>
      <c r="AC26" s="6">
        <f>+AC25/AC27</f>
        <v>-12.418080480186193</v>
      </c>
      <c r="AD26" s="6">
        <f>+AD25/AD27</f>
        <v>1.5908257769108929</v>
      </c>
    </row>
    <row r="27" spans="1:30" x14ac:dyDescent="0.2">
      <c r="A27" s="1" t="s">
        <v>11</v>
      </c>
      <c r="J27" s="1">
        <v>72.179000000000002</v>
      </c>
      <c r="K27" s="1">
        <v>72.266000000000005</v>
      </c>
      <c r="L27" s="1">
        <v>95.835999999999999</v>
      </c>
      <c r="M27" s="1">
        <f>+AVERAGE(J27:L27)</f>
        <v>80.093666666666664</v>
      </c>
      <c r="N27" s="1">
        <v>302.12599999999998</v>
      </c>
      <c r="O27" s="1">
        <v>286.25599999999997</v>
      </c>
      <c r="P27" s="1">
        <v>281.00299999999999</v>
      </c>
      <c r="Q27" s="1">
        <f>+AVERAGE(N27:P27)</f>
        <v>289.79500000000002</v>
      </c>
      <c r="AA27" s="1">
        <v>65.873999999999995</v>
      </c>
      <c r="AB27" s="1">
        <v>101.48</v>
      </c>
      <c r="AC27" s="1">
        <v>130.61600000000001</v>
      </c>
      <c r="AD27" s="1">
        <v>289.15800000000002</v>
      </c>
    </row>
    <row r="29" spans="1:30" s="4" customFormat="1" x14ac:dyDescent="0.2">
      <c r="A29" s="4" t="s">
        <v>12</v>
      </c>
      <c r="J29" s="4">
        <f>+J15/J13</f>
        <v>0.76679841897233203</v>
      </c>
      <c r="K29" s="4">
        <f>+K15/K13</f>
        <v>0.73603351955307261</v>
      </c>
      <c r="L29" s="4">
        <f>+L15/L13</f>
        <v>0.73429319371727753</v>
      </c>
      <c r="M29" s="4">
        <f>+M15/M13</f>
        <v>0.7571606475716065</v>
      </c>
      <c r="N29" s="4">
        <f>+N15/N13</f>
        <v>0.74878048780487805</v>
      </c>
      <c r="O29" s="4">
        <f>+O15/O13</f>
        <v>0.75698663426488455</v>
      </c>
      <c r="P29" s="4">
        <f>+P15/P13</f>
        <v>0.75234741784037562</v>
      </c>
      <c r="Q29" s="4">
        <f>+Q15/Q13</f>
        <v>0.75198187995469989</v>
      </c>
      <c r="AA29" s="4">
        <f>+AA15/AA13</f>
        <v>0.66848418756815708</v>
      </c>
      <c r="AB29" s="4">
        <f>+AB15/AB13</f>
        <v>0.71775774206193654</v>
      </c>
      <c r="AC29" s="4">
        <f>+AC15/AC13</f>
        <v>0.74884944115713348</v>
      </c>
      <c r="AD29" s="4">
        <f>+AD15/AD13</f>
        <v>0.75251628182356423</v>
      </c>
    </row>
    <row r="30" spans="1:30" s="4" customFormat="1" x14ac:dyDescent="0.2">
      <c r="A30" s="4" t="s">
        <v>13</v>
      </c>
      <c r="J30" s="4">
        <f>+J21/J13</f>
        <v>0.19762845849802371</v>
      </c>
      <c r="K30" s="4">
        <f>+K21/K13</f>
        <v>0.16620111731843576</v>
      </c>
      <c r="L30" s="4">
        <f>+L21/L13</f>
        <v>-3.2159685863874348</v>
      </c>
      <c r="M30" s="4">
        <f>+M21/M13</f>
        <v>5.7285180572851806E-2</v>
      </c>
      <c r="N30" s="4">
        <f>+N21/N13</f>
        <v>0.17560975609756097</v>
      </c>
      <c r="O30" s="4">
        <f>+O21/O13</f>
        <v>6.3183475091130009E-2</v>
      </c>
      <c r="P30" s="4">
        <f>+P21/P13</f>
        <v>0.1619718309859155</v>
      </c>
      <c r="Q30" s="4">
        <f>+Q21/Q13</f>
        <v>0.17553793884484711</v>
      </c>
      <c r="AA30" s="4">
        <f>+AA21/AA13</f>
        <v>-4.6892039258451472E-2</v>
      </c>
      <c r="AB30" s="4">
        <f>+AB21/AB13</f>
        <v>2.4304194433555467E-2</v>
      </c>
      <c r="AC30" s="4">
        <f>+AC21/AC13</f>
        <v>-0.70414201183431957</v>
      </c>
      <c r="AD30" s="4">
        <f>+AD21/AD13</f>
        <v>0.14476021314387211</v>
      </c>
    </row>
    <row r="31" spans="1:30" s="4" customFormat="1" x14ac:dyDescent="0.2">
      <c r="A31" s="4" t="s">
        <v>14</v>
      </c>
      <c r="J31" s="4">
        <f>+J25/J13</f>
        <v>0.16864295125164691</v>
      </c>
      <c r="K31" s="4">
        <f>+K25/K13</f>
        <v>0.15502793296089384</v>
      </c>
      <c r="L31" s="4">
        <f>+L25/L13</f>
        <v>-2.6099476439790577</v>
      </c>
      <c r="M31" s="4">
        <f>+M25/M13</f>
        <v>0.16562889165628891</v>
      </c>
      <c r="N31" s="4">
        <f>+N25/N13</f>
        <v>0.15975609756097561</v>
      </c>
      <c r="O31" s="4">
        <f>+O25/O13</f>
        <v>7.5334143377885784E-2</v>
      </c>
      <c r="P31" s="4">
        <f>+P25/P13</f>
        <v>0.13849765258215962</v>
      </c>
      <c r="Q31" s="4">
        <f>+Q25/Q13</f>
        <v>0.16874292185730463</v>
      </c>
      <c r="AA31" s="4">
        <f>+AA25/AA13</f>
        <v>-4.6346782988004362E-2</v>
      </c>
      <c r="AB31" s="4">
        <f>+AB25/AB13</f>
        <v>0.17091336730693846</v>
      </c>
      <c r="AC31" s="4">
        <f>+AC25/AC13</f>
        <v>-0.53320184089414857</v>
      </c>
      <c r="AD31" s="4">
        <f>+AD25/AD13</f>
        <v>0.13617525162818236</v>
      </c>
    </row>
    <row r="32" spans="1:30" s="4" customFormat="1" x14ac:dyDescent="0.2">
      <c r="A32" s="4" t="s">
        <v>15</v>
      </c>
      <c r="J32" s="4">
        <f>+J24/J23</f>
        <v>0.21951219512195122</v>
      </c>
      <c r="K32" s="4">
        <f>+K24/K23</f>
        <v>0.20143884892086331</v>
      </c>
      <c r="L32" s="4">
        <f>+L24/L23</f>
        <v>0.18077239112571897</v>
      </c>
      <c r="M32" s="4">
        <f>+M24/M23</f>
        <v>-0.9</v>
      </c>
      <c r="N32" s="4">
        <f>+N24/N23</f>
        <v>0.21084337349397592</v>
      </c>
      <c r="O32" s="4">
        <f>+O24/O23</f>
        <v>0.10144927536231885</v>
      </c>
      <c r="P32" s="4">
        <f>+P24/P23</f>
        <v>0.22875816993464052</v>
      </c>
      <c r="Q32" s="4">
        <f>+Q24/Q23</f>
        <v>0.10778443113772455</v>
      </c>
      <c r="AA32" s="4">
        <f>+AA24/AA23</f>
        <v>-1.1904761904761904E-2</v>
      </c>
      <c r="AB32" s="4">
        <f>+AB24/AB23</f>
        <v>-4.518987341772152</v>
      </c>
      <c r="AC32" s="4">
        <f>+AC24/AC23</f>
        <v>0.21300339640950994</v>
      </c>
      <c r="AD32" s="4">
        <f>+AD24/AD23</f>
        <v>0.17117117117117117</v>
      </c>
    </row>
    <row r="33" spans="1:141" s="4" customFormat="1" x14ac:dyDescent="0.2"/>
    <row r="34" spans="1:141" s="4" customFormat="1" x14ac:dyDescent="0.2">
      <c r="A34" s="1" t="s">
        <v>59</v>
      </c>
      <c r="Q34" s="4">
        <f>+Q9/Q13</f>
        <v>0.69762174405436017</v>
      </c>
      <c r="AA34" s="4">
        <f>+AA9/AA13</f>
        <v>0.68811341330425302</v>
      </c>
      <c r="AB34" s="4">
        <f>+AB9/AB13</f>
        <v>0.70991767934143468</v>
      </c>
      <c r="AC34" s="4">
        <f>+AC9/AC13</f>
        <v>0.71367521367521369</v>
      </c>
      <c r="AD34" s="4">
        <f>+AD9/AD13</f>
        <v>0.71640023682652454</v>
      </c>
    </row>
    <row r="35" spans="1:141" s="4" customFormat="1" x14ac:dyDescent="0.2">
      <c r="A35" s="1" t="s">
        <v>60</v>
      </c>
      <c r="Q35" s="4">
        <f>+Q11/Q13</f>
        <v>0.30237825594563988</v>
      </c>
      <c r="AA35" s="4">
        <f>+AA11/AA13</f>
        <v>0.31188658669574698</v>
      </c>
      <c r="AB35" s="4">
        <f>+AB11/AB13</f>
        <v>0.29008232065856526</v>
      </c>
      <c r="AC35" s="4">
        <f>+AC11/AC13</f>
        <v>0.28632478632478631</v>
      </c>
      <c r="AD35" s="4">
        <f>+AD11/AD13</f>
        <v>0.28359976317347541</v>
      </c>
    </row>
    <row r="36" spans="1:141" s="4" customFormat="1" x14ac:dyDescent="0.2"/>
    <row r="37" spans="1:141" s="8" customFormat="1" x14ac:dyDescent="0.2">
      <c r="A37" s="8" t="s">
        <v>16</v>
      </c>
      <c r="J37" s="8" t="e">
        <f>+J13/F13-1</f>
        <v>#DIV/0!</v>
      </c>
      <c r="K37" s="8" t="e">
        <f>+K13/G13-1</f>
        <v>#DIV/0!</v>
      </c>
      <c r="L37" s="8" t="e">
        <f>+L13/H13-1</f>
        <v>#DIV/0!</v>
      </c>
      <c r="M37" s="8" t="e">
        <f>+M13/I13-1</f>
        <v>#DIV/0!</v>
      </c>
      <c r="N37" s="8">
        <f>+N13/J13-1</f>
        <v>8.0368906455863032E-2</v>
      </c>
      <c r="O37" s="8">
        <f>+O13/K13-1</f>
        <v>0.1494413407821229</v>
      </c>
      <c r="P37" s="8">
        <f>+P13/L13-1</f>
        <v>0.11518324607329844</v>
      </c>
      <c r="Q37" s="8">
        <f>+Q13/M13-1</f>
        <v>9.9626400996263964E-2</v>
      </c>
      <c r="R37" s="8">
        <f>+R13/N13-1</f>
        <v>0.11585365853658547</v>
      </c>
      <c r="AB37" s="8">
        <f>+AB13/AA13-1</f>
        <v>0.39094874591057804</v>
      </c>
      <c r="AC37" s="8">
        <f>+AC13/AB13-1</f>
        <v>0.19247353978831838</v>
      </c>
      <c r="AD37" s="8">
        <f>+AD13/AC13-1</f>
        <v>0.11045364891518727</v>
      </c>
    </row>
    <row r="39" spans="1:141" s="7" customFormat="1" x14ac:dyDescent="0.2">
      <c r="A39" s="7" t="s">
        <v>61</v>
      </c>
      <c r="J39" s="7">
        <v>70</v>
      </c>
      <c r="K39" s="7">
        <f>242-J39</f>
        <v>172</v>
      </c>
      <c r="L39" s="7">
        <f>353-SUM(J39:K39)</f>
        <v>111</v>
      </c>
      <c r="M39" s="7">
        <v>233</v>
      </c>
      <c r="N39" s="7">
        <v>105</v>
      </c>
      <c r="O39" s="7">
        <f>349-N39</f>
        <v>244</v>
      </c>
      <c r="P39" s="7">
        <f>534-SUM(N39:O39)</f>
        <v>185</v>
      </c>
      <c r="Q39" s="7">
        <v>153</v>
      </c>
      <c r="AC39" s="7">
        <f>+SUM(J39:M39)</f>
        <v>586</v>
      </c>
      <c r="AD39" s="7">
        <f>+SUM(N39:Q39)</f>
        <v>687</v>
      </c>
      <c r="AE39" s="7">
        <f>+AD39*1.1</f>
        <v>755.7</v>
      </c>
      <c r="AF39" s="7">
        <f>+AE39*1.1</f>
        <v>831.2700000000001</v>
      </c>
      <c r="AG39" s="7">
        <f t="shared" ref="AG39:AN39" si="7">+AF39*1.1</f>
        <v>914.39700000000016</v>
      </c>
      <c r="AH39" s="7">
        <f t="shared" si="7"/>
        <v>1005.8367000000003</v>
      </c>
      <c r="AI39" s="7">
        <f t="shared" si="7"/>
        <v>1106.4203700000005</v>
      </c>
      <c r="AJ39" s="7">
        <f t="shared" si="7"/>
        <v>1217.0624070000006</v>
      </c>
      <c r="AK39" s="7">
        <f t="shared" si="7"/>
        <v>1338.7686477000007</v>
      </c>
      <c r="AL39" s="7">
        <f t="shared" si="7"/>
        <v>1472.6455124700008</v>
      </c>
      <c r="AM39" s="7">
        <f t="shared" si="7"/>
        <v>1619.9100637170009</v>
      </c>
      <c r="AN39" s="7">
        <f t="shared" si="7"/>
        <v>1781.9010700887011</v>
      </c>
      <c r="AO39" s="7">
        <f>+AN39*(1+$AQ$43)</f>
        <v>1728.44403798604</v>
      </c>
      <c r="AP39" s="7">
        <f t="shared" ref="AP39:DA39" si="8">+AO39*(1+$AQ$43)</f>
        <v>1676.5907168464587</v>
      </c>
      <c r="AQ39" s="7">
        <f t="shared" si="8"/>
        <v>1626.2929953410649</v>
      </c>
      <c r="AR39" s="7">
        <f t="shared" si="8"/>
        <v>1577.5042054808328</v>
      </c>
      <c r="AS39" s="7">
        <f t="shared" si="8"/>
        <v>1530.1790793164078</v>
      </c>
      <c r="AT39" s="7">
        <f t="shared" si="8"/>
        <v>1484.2737069369155</v>
      </c>
      <c r="AU39" s="7">
        <f t="shared" si="8"/>
        <v>1439.745495728808</v>
      </c>
      <c r="AV39" s="7">
        <f t="shared" si="8"/>
        <v>1396.5531308569437</v>
      </c>
      <c r="AW39" s="7">
        <f t="shared" si="8"/>
        <v>1354.6565369312352</v>
      </c>
      <c r="AX39" s="7">
        <f t="shared" si="8"/>
        <v>1314.016840823298</v>
      </c>
      <c r="AY39" s="7">
        <f t="shared" si="8"/>
        <v>1274.5963355985991</v>
      </c>
      <c r="AZ39" s="7">
        <f t="shared" si="8"/>
        <v>1236.3584455306411</v>
      </c>
      <c r="BA39" s="7">
        <f t="shared" si="8"/>
        <v>1199.2676921647219</v>
      </c>
      <c r="BB39" s="7">
        <f t="shared" si="8"/>
        <v>1163.2896613997802</v>
      </c>
      <c r="BC39" s="7">
        <f t="shared" si="8"/>
        <v>1128.3909715577868</v>
      </c>
      <c r="BD39" s="7">
        <f t="shared" si="8"/>
        <v>1094.5392424110532</v>
      </c>
      <c r="BE39" s="7">
        <f t="shared" si="8"/>
        <v>1061.7030651387215</v>
      </c>
      <c r="BF39" s="7">
        <f t="shared" si="8"/>
        <v>1029.8519731845599</v>
      </c>
      <c r="BG39" s="7">
        <f t="shared" si="8"/>
        <v>998.95641398902308</v>
      </c>
      <c r="BH39" s="7">
        <f t="shared" si="8"/>
        <v>968.9877215693524</v>
      </c>
      <c r="BI39" s="7">
        <f t="shared" si="8"/>
        <v>939.91808992227186</v>
      </c>
      <c r="BJ39" s="7">
        <f t="shared" si="8"/>
        <v>911.72054722460371</v>
      </c>
      <c r="BK39" s="7">
        <f t="shared" si="8"/>
        <v>884.36893080786558</v>
      </c>
      <c r="BL39" s="7">
        <f t="shared" si="8"/>
        <v>857.83786288362955</v>
      </c>
      <c r="BM39" s="7">
        <f t="shared" si="8"/>
        <v>832.10272699712061</v>
      </c>
      <c r="BN39" s="7">
        <f t="shared" si="8"/>
        <v>807.13964518720695</v>
      </c>
      <c r="BO39" s="7">
        <f t="shared" si="8"/>
        <v>782.92545583159074</v>
      </c>
      <c r="BP39" s="7">
        <f t="shared" si="8"/>
        <v>759.43769215664304</v>
      </c>
      <c r="BQ39" s="7">
        <f t="shared" si="8"/>
        <v>736.65456139194373</v>
      </c>
      <c r="BR39" s="7">
        <f t="shared" si="8"/>
        <v>714.55492455018543</v>
      </c>
      <c r="BS39" s="7">
        <f t="shared" si="8"/>
        <v>693.11827681367981</v>
      </c>
      <c r="BT39" s="7">
        <f t="shared" si="8"/>
        <v>672.32472850926945</v>
      </c>
      <c r="BU39" s="7">
        <f t="shared" si="8"/>
        <v>652.15498665399139</v>
      </c>
      <c r="BV39" s="7">
        <f t="shared" si="8"/>
        <v>632.59033705437162</v>
      </c>
      <c r="BW39" s="7">
        <f t="shared" si="8"/>
        <v>613.61262694274046</v>
      </c>
      <c r="BX39" s="7">
        <f t="shared" si="8"/>
        <v>595.20424813445823</v>
      </c>
      <c r="BY39" s="7">
        <f t="shared" si="8"/>
        <v>577.34812069042448</v>
      </c>
      <c r="BZ39" s="7">
        <f t="shared" si="8"/>
        <v>560.02767706971179</v>
      </c>
      <c r="CA39" s="7">
        <f t="shared" si="8"/>
        <v>543.22684675762036</v>
      </c>
      <c r="CB39" s="7">
        <f t="shared" si="8"/>
        <v>526.93004135489173</v>
      </c>
      <c r="CC39" s="7">
        <f t="shared" si="8"/>
        <v>511.12214011424498</v>
      </c>
      <c r="CD39" s="7">
        <f t="shared" si="8"/>
        <v>495.78847591081762</v>
      </c>
      <c r="CE39" s="7">
        <f t="shared" si="8"/>
        <v>480.91482163349309</v>
      </c>
      <c r="CF39" s="7">
        <f t="shared" si="8"/>
        <v>466.48737698448826</v>
      </c>
      <c r="CG39" s="7">
        <f t="shared" si="8"/>
        <v>452.49275567495363</v>
      </c>
      <c r="CH39" s="7">
        <f t="shared" si="8"/>
        <v>438.917973004705</v>
      </c>
      <c r="CI39" s="7">
        <f t="shared" si="8"/>
        <v>425.75043381456385</v>
      </c>
      <c r="CJ39" s="7">
        <f t="shared" si="8"/>
        <v>412.97792080012692</v>
      </c>
      <c r="CK39" s="7">
        <f t="shared" si="8"/>
        <v>400.58858317612311</v>
      </c>
      <c r="CL39" s="7">
        <f t="shared" si="8"/>
        <v>388.57092568083942</v>
      </c>
      <c r="CM39" s="7">
        <f t="shared" si="8"/>
        <v>376.91379791041425</v>
      </c>
      <c r="CN39" s="7">
        <f t="shared" si="8"/>
        <v>365.6063839731018</v>
      </c>
      <c r="CO39" s="7">
        <f t="shared" si="8"/>
        <v>354.63819245390874</v>
      </c>
      <c r="CP39" s="7">
        <f t="shared" si="8"/>
        <v>343.99904668029149</v>
      </c>
      <c r="CQ39" s="7">
        <f t="shared" si="8"/>
        <v>333.67907527988274</v>
      </c>
      <c r="CR39" s="7">
        <f t="shared" si="8"/>
        <v>323.66870302148624</v>
      </c>
      <c r="CS39" s="7">
        <f t="shared" si="8"/>
        <v>313.95864193084162</v>
      </c>
      <c r="CT39" s="7">
        <f t="shared" si="8"/>
        <v>304.53988267291635</v>
      </c>
      <c r="CU39" s="7">
        <f t="shared" si="8"/>
        <v>295.40368619272886</v>
      </c>
      <c r="CV39" s="7">
        <f t="shared" si="8"/>
        <v>286.54157560694699</v>
      </c>
      <c r="CW39" s="7">
        <f t="shared" si="8"/>
        <v>277.94532833873859</v>
      </c>
      <c r="CX39" s="7">
        <f t="shared" si="8"/>
        <v>269.6069684885764</v>
      </c>
      <c r="CY39" s="7">
        <f t="shared" si="8"/>
        <v>261.51875943391912</v>
      </c>
      <c r="CZ39" s="7">
        <f t="shared" si="8"/>
        <v>253.67319665090153</v>
      </c>
      <c r="DA39" s="7">
        <f t="shared" si="8"/>
        <v>246.06300075137449</v>
      </c>
      <c r="DB39" s="7">
        <f t="shared" ref="DB39:EK39" si="9">+DA39*(1+$AQ$43)</f>
        <v>238.68111072883326</v>
      </c>
      <c r="DC39" s="7">
        <f t="shared" si="9"/>
        <v>231.52067740696825</v>
      </c>
      <c r="DD39" s="7">
        <f t="shared" si="9"/>
        <v>224.57505708475918</v>
      </c>
      <c r="DE39" s="7">
        <f t="shared" si="9"/>
        <v>217.83780537221639</v>
      </c>
      <c r="DF39" s="7">
        <f t="shared" si="9"/>
        <v>211.3026712110499</v>
      </c>
      <c r="DG39" s="7">
        <f t="shared" si="9"/>
        <v>204.96359107471841</v>
      </c>
      <c r="DH39" s="7">
        <f t="shared" si="9"/>
        <v>198.81468334247685</v>
      </c>
      <c r="DI39" s="7">
        <f t="shared" si="9"/>
        <v>192.85024284220253</v>
      </c>
      <c r="DJ39" s="7">
        <f t="shared" si="9"/>
        <v>187.06473555693645</v>
      </c>
      <c r="DK39" s="7">
        <f t="shared" si="9"/>
        <v>181.45279349022834</v>
      </c>
      <c r="DL39" s="7">
        <f t="shared" si="9"/>
        <v>176.00920968552148</v>
      </c>
      <c r="DM39" s="7">
        <f t="shared" si="9"/>
        <v>170.72893339495585</v>
      </c>
      <c r="DN39" s="7">
        <f t="shared" si="9"/>
        <v>165.60706539310718</v>
      </c>
      <c r="DO39" s="7">
        <f t="shared" si="9"/>
        <v>160.63885343131395</v>
      </c>
      <c r="DP39" s="7">
        <f t="shared" si="9"/>
        <v>155.81968782837453</v>
      </c>
      <c r="DQ39" s="7">
        <f t="shared" si="9"/>
        <v>151.1450971935233</v>
      </c>
      <c r="DR39" s="7">
        <f t="shared" si="9"/>
        <v>146.6107442777176</v>
      </c>
      <c r="DS39" s="7">
        <f t="shared" si="9"/>
        <v>142.21242194938606</v>
      </c>
      <c r="DT39" s="7">
        <f t="shared" si="9"/>
        <v>137.94604929090448</v>
      </c>
      <c r="DU39" s="7">
        <f t="shared" si="9"/>
        <v>133.80766781217736</v>
      </c>
      <c r="DV39" s="7">
        <f t="shared" si="9"/>
        <v>129.79343777781204</v>
      </c>
      <c r="DW39" s="7">
        <f t="shared" si="9"/>
        <v>125.89963464447769</v>
      </c>
      <c r="DX39" s="7">
        <f t="shared" si="9"/>
        <v>122.12264560514335</v>
      </c>
      <c r="DY39" s="7">
        <f t="shared" si="9"/>
        <v>118.45896623698904</v>
      </c>
      <c r="DZ39" s="7">
        <f t="shared" si="9"/>
        <v>114.90519724987936</v>
      </c>
      <c r="EA39" s="7">
        <f t="shared" si="9"/>
        <v>111.45804133238298</v>
      </c>
      <c r="EB39" s="7">
        <f t="shared" si="9"/>
        <v>108.11430009241148</v>
      </c>
      <c r="EC39" s="7">
        <f t="shared" si="9"/>
        <v>104.87087108963914</v>
      </c>
      <c r="ED39" s="7">
        <f t="shared" si="9"/>
        <v>101.72474495694996</v>
      </c>
      <c r="EE39" s="7">
        <f t="shared" si="9"/>
        <v>98.673002608241461</v>
      </c>
      <c r="EF39" s="7">
        <f t="shared" si="9"/>
        <v>95.71281252999421</v>
      </c>
      <c r="EG39" s="7">
        <f t="shared" si="9"/>
        <v>92.841428154094388</v>
      </c>
      <c r="EH39" s="7">
        <f t="shared" si="9"/>
        <v>90.056185309471559</v>
      </c>
      <c r="EI39" s="7">
        <f t="shared" si="9"/>
        <v>87.354499750187415</v>
      </c>
      <c r="EJ39" s="7">
        <f t="shared" si="9"/>
        <v>84.733864757681786</v>
      </c>
      <c r="EK39" s="7">
        <f t="shared" si="9"/>
        <v>82.191848814951328</v>
      </c>
    </row>
    <row r="40" spans="1:141" x14ac:dyDescent="0.2">
      <c r="A40" s="1" t="s">
        <v>62</v>
      </c>
      <c r="J40" s="1">
        <v>9</v>
      </c>
      <c r="K40" s="1">
        <f>22-J40</f>
        <v>13</v>
      </c>
      <c r="L40" s="1">
        <f>38-SUM(J40:K40)</f>
        <v>16</v>
      </c>
      <c r="M40" s="1">
        <v>16</v>
      </c>
      <c r="N40" s="1">
        <v>14</v>
      </c>
      <c r="O40" s="1">
        <f>38-N40</f>
        <v>24</v>
      </c>
      <c r="P40" s="1">
        <f>52-SUM(N40:O40)</f>
        <v>14</v>
      </c>
      <c r="Q40" s="1">
        <v>12</v>
      </c>
      <c r="AC40" s="10">
        <f>+SUM(J40:M40)</f>
        <v>54</v>
      </c>
      <c r="AD40" s="1">
        <f>+SUM(N40:Q40)</f>
        <v>64</v>
      </c>
      <c r="AQ40" s="4"/>
    </row>
    <row r="41" spans="1:141" x14ac:dyDescent="0.2">
      <c r="A41" s="1" t="s">
        <v>63</v>
      </c>
      <c r="J41" s="1">
        <f t="shared" ref="J41:P41" si="10">+J39-J40</f>
        <v>61</v>
      </c>
      <c r="K41" s="1">
        <f t="shared" si="10"/>
        <v>159</v>
      </c>
      <c r="L41" s="1">
        <f t="shared" si="10"/>
        <v>95</v>
      </c>
      <c r="M41" s="1">
        <f t="shared" si="10"/>
        <v>217</v>
      </c>
      <c r="N41" s="1">
        <f t="shared" si="10"/>
        <v>91</v>
      </c>
      <c r="O41" s="1">
        <f t="shared" si="10"/>
        <v>220</v>
      </c>
      <c r="P41" s="1">
        <f t="shared" si="10"/>
        <v>171</v>
      </c>
      <c r="Q41" s="1">
        <f>+Q39-Q40</f>
        <v>141</v>
      </c>
      <c r="AC41" s="1">
        <f>+AC39-AC40</f>
        <v>532</v>
      </c>
      <c r="AD41" s="1">
        <f>+AD39-AD40</f>
        <v>623</v>
      </c>
      <c r="AE41" s="1">
        <f>+AD41*1.1</f>
        <v>685.30000000000007</v>
      </c>
      <c r="AF41" s="1">
        <f t="shared" ref="AF41:AN41" si="11">+AE41*1.1</f>
        <v>753.83000000000015</v>
      </c>
      <c r="AG41" s="1">
        <f t="shared" si="11"/>
        <v>829.21300000000019</v>
      </c>
      <c r="AH41" s="1">
        <f t="shared" si="11"/>
        <v>912.13430000000028</v>
      </c>
      <c r="AI41" s="1">
        <f t="shared" si="11"/>
        <v>1003.3477300000004</v>
      </c>
      <c r="AJ41" s="1">
        <f t="shared" si="11"/>
        <v>1103.6825030000005</v>
      </c>
      <c r="AK41" s="1">
        <f t="shared" si="11"/>
        <v>1214.0507533000007</v>
      </c>
      <c r="AL41" s="1">
        <f t="shared" si="11"/>
        <v>1335.455828630001</v>
      </c>
      <c r="AM41" s="1">
        <f t="shared" si="11"/>
        <v>1469.0014114930011</v>
      </c>
      <c r="AN41" s="1">
        <f t="shared" si="11"/>
        <v>1615.9015526423013</v>
      </c>
    </row>
    <row r="43" spans="1:141" x14ac:dyDescent="0.2">
      <c r="AP43" s="10" t="s">
        <v>64</v>
      </c>
      <c r="AQ43" s="4">
        <v>-0.03</v>
      </c>
    </row>
    <row r="44" spans="1:141" x14ac:dyDescent="0.2">
      <c r="AP44" s="1" t="s">
        <v>65</v>
      </c>
      <c r="AQ44" s="4">
        <v>0.15</v>
      </c>
    </row>
    <row r="45" spans="1:141" x14ac:dyDescent="0.2">
      <c r="AP45" s="1" t="s">
        <v>66</v>
      </c>
      <c r="AQ45" s="1">
        <f>+NPV(AQ44,AE39:EK39)</f>
        <v>7797.4916404793812</v>
      </c>
    </row>
    <row r="46" spans="1:141" x14ac:dyDescent="0.2">
      <c r="AP46" s="1" t="s">
        <v>70</v>
      </c>
      <c r="AQ46" s="1">
        <f>+Main!L5-Main!L6</f>
        <v>2186</v>
      </c>
    </row>
    <row r="47" spans="1:141" x14ac:dyDescent="0.2">
      <c r="AP47" s="1" t="s">
        <v>67</v>
      </c>
      <c r="AQ47" s="1">
        <f>+AQ45+AQ46</f>
        <v>9983.4916404793803</v>
      </c>
    </row>
    <row r="48" spans="1:141" x14ac:dyDescent="0.2">
      <c r="AP48" s="1" t="s">
        <v>33</v>
      </c>
      <c r="AQ48" s="6">
        <f>+AQ47/Main!L3</f>
        <v>37.724477846479296</v>
      </c>
    </row>
    <row r="49" spans="42:43" x14ac:dyDescent="0.2">
      <c r="AP49" s="1" t="s">
        <v>68</v>
      </c>
      <c r="AQ49" s="6">
        <v>38.57</v>
      </c>
    </row>
    <row r="50" spans="42:43" x14ac:dyDescent="0.2">
      <c r="AP50" s="1" t="s">
        <v>69</v>
      </c>
      <c r="AQ50" s="4">
        <f>+AQ48/AQ49-1</f>
        <v>-2.19217566378197E-2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2025-03-16T06:59:35Z</dcterms:created>
  <dcterms:modified xsi:type="dcterms:W3CDTF">2025-03-16T16:12:04Z</dcterms:modified>
</cp:coreProperties>
</file>