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2A79AC0A-A083-41BB-87DB-BFC48FBACFC2}" xr6:coauthVersionLast="47" xr6:coauthVersionMax="47" xr10:uidLastSave="{00000000-0000-0000-0000-000000000000}"/>
  <bookViews>
    <workbookView xWindow="0" yWindow="0" windowWidth="14400" windowHeight="15600" activeTab="1" xr2:uid="{9055B9C6-ACEE-43C5-8647-35054FB84A5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1" i="2" l="1"/>
  <c r="N92" i="2"/>
  <c r="N88" i="2"/>
  <c r="N85" i="2"/>
  <c r="N78" i="2"/>
  <c r="N69" i="2"/>
  <c r="N68" i="2"/>
  <c r="M48" i="2"/>
  <c r="L48" i="2"/>
  <c r="K48" i="2"/>
  <c r="J48" i="2"/>
  <c r="O48" i="2"/>
  <c r="N48" i="2"/>
  <c r="P48" i="2"/>
  <c r="P41" i="2"/>
  <c r="P44" i="2" s="1"/>
  <c r="P46" i="2" s="1"/>
  <c r="P33" i="2"/>
  <c r="P27" i="2"/>
  <c r="O41" i="2"/>
  <c r="O33" i="2"/>
  <c r="O27" i="2"/>
  <c r="O44" i="2"/>
  <c r="O46" i="2" s="1"/>
  <c r="O37" i="2"/>
  <c r="O26" i="2"/>
  <c r="M33" i="2"/>
  <c r="M41" i="2"/>
  <c r="M27" i="2"/>
  <c r="M26" i="2" s="1"/>
  <c r="M44" i="2"/>
  <c r="M46" i="2" s="1"/>
  <c r="N26" i="2"/>
  <c r="N46" i="2"/>
  <c r="N44" i="2"/>
  <c r="N41" i="2"/>
  <c r="N37" i="2"/>
  <c r="N33" i="2"/>
  <c r="N27" i="2"/>
  <c r="M17" i="2"/>
  <c r="M14" i="2"/>
  <c r="M10" i="2"/>
  <c r="M9" i="2"/>
  <c r="M8" i="2"/>
  <c r="M7" i="2"/>
  <c r="M5" i="2"/>
  <c r="M4" i="2"/>
  <c r="M24" i="2" s="1"/>
  <c r="Z12" i="2"/>
  <c r="Z24" i="2"/>
  <c r="Z10" i="2"/>
  <c r="Z6" i="2"/>
  <c r="Z19" i="2" s="1"/>
  <c r="AA12" i="2"/>
  <c r="AB12" i="2"/>
  <c r="AA24" i="2"/>
  <c r="AA10" i="2"/>
  <c r="AA6" i="2"/>
  <c r="AB24" i="2"/>
  <c r="P26" i="2" l="1"/>
  <c r="P37" i="2"/>
  <c r="M37" i="2"/>
  <c r="M12" i="2"/>
  <c r="M6" i="2"/>
  <c r="M19" i="2" s="1"/>
  <c r="Z11" i="2"/>
  <c r="AA11" i="2"/>
  <c r="AA20" i="2" s="1"/>
  <c r="AA19" i="2"/>
  <c r="J12" i="2"/>
  <c r="N12" i="2"/>
  <c r="K12" i="2"/>
  <c r="L12" i="2"/>
  <c r="P12" i="2"/>
  <c r="O12" i="2"/>
  <c r="AB10" i="2"/>
  <c r="AB6" i="2"/>
  <c r="AB19" i="2" s="1"/>
  <c r="J24" i="2"/>
  <c r="J10" i="2"/>
  <c r="J6" i="2"/>
  <c r="M11" i="2"/>
  <c r="N10" i="2"/>
  <c r="N24" i="2"/>
  <c r="N6" i="2"/>
  <c r="N19" i="2" s="1"/>
  <c r="K24" i="2"/>
  <c r="K10" i="2"/>
  <c r="K6" i="2"/>
  <c r="K19" i="2" s="1"/>
  <c r="O24" i="2"/>
  <c r="O10" i="2"/>
  <c r="O6" i="2"/>
  <c r="O19" i="2" s="1"/>
  <c r="L24" i="2"/>
  <c r="L10" i="2"/>
  <c r="L6" i="2"/>
  <c r="L19" i="2" s="1"/>
  <c r="P24" i="2"/>
  <c r="P10" i="2"/>
  <c r="P6" i="2"/>
  <c r="P11" i="2" s="1"/>
  <c r="L8" i="1"/>
  <c r="L7" i="1"/>
  <c r="L6" i="1"/>
  <c r="L5" i="1"/>
  <c r="T3" i="2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P19" i="2" l="1"/>
  <c r="M20" i="2"/>
  <c r="M13" i="2"/>
  <c r="Z13" i="2"/>
  <c r="Z20" i="2"/>
  <c r="AA13" i="2"/>
  <c r="AA22" i="2" s="1"/>
  <c r="AA15" i="2"/>
  <c r="AB11" i="2"/>
  <c r="P13" i="2"/>
  <c r="P22" i="2" s="1"/>
  <c r="P20" i="2"/>
  <c r="K11" i="2"/>
  <c r="K20" i="2" s="1"/>
  <c r="L11" i="2"/>
  <c r="L13" i="2" s="1"/>
  <c r="N11" i="2"/>
  <c r="N20" i="2" s="1"/>
  <c r="O11" i="2"/>
  <c r="O20" i="2" s="1"/>
  <c r="J11" i="2"/>
  <c r="J20" i="2" s="1"/>
  <c r="J19" i="2"/>
  <c r="L20" i="2" l="1"/>
  <c r="K13" i="2"/>
  <c r="N13" i="2"/>
  <c r="M15" i="2"/>
  <c r="M22" i="2"/>
  <c r="P15" i="2"/>
  <c r="Z22" i="2"/>
  <c r="Z15" i="2"/>
  <c r="AA21" i="2"/>
  <c r="AA16" i="2"/>
  <c r="AB20" i="2"/>
  <c r="AB13" i="2"/>
  <c r="O13" i="2"/>
  <c r="O22" i="2" s="1"/>
  <c r="J13" i="2"/>
  <c r="J22" i="2" s="1"/>
  <c r="N22" i="2"/>
  <c r="N15" i="2"/>
  <c r="K22" i="2"/>
  <c r="K15" i="2"/>
  <c r="L22" i="2"/>
  <c r="L15" i="2"/>
  <c r="P21" i="2" l="1"/>
  <c r="P16" i="2"/>
  <c r="M21" i="2"/>
  <c r="M16" i="2"/>
  <c r="Z21" i="2"/>
  <c r="Z16" i="2"/>
  <c r="AB22" i="2"/>
  <c r="AB15" i="2"/>
  <c r="O15" i="2"/>
  <c r="O21" i="2" s="1"/>
  <c r="J15" i="2"/>
  <c r="J21" i="2" s="1"/>
  <c r="N21" i="2"/>
  <c r="K21" i="2"/>
  <c r="K16" i="2"/>
  <c r="L21" i="2"/>
  <c r="L16" i="2"/>
  <c r="O16" i="2" l="1"/>
  <c r="AB21" i="2"/>
  <c r="AB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</authors>
  <commentList>
    <comment ref="AD91" authorId="0" shapeId="0" xr:uid="{93DF6F8B-A60A-44A0-B143-5A3025E838D9}">
      <text>
        <r>
          <rPr>
            <b/>
            <sz val="9"/>
            <color indexed="81"/>
            <rFont val="Tahoma"/>
            <charset val="1"/>
          </rPr>
          <t>Dennis Hesselberth:</t>
        </r>
        <r>
          <rPr>
            <sz val="9"/>
            <color indexed="81"/>
            <rFont val="Tahoma"/>
            <charset val="1"/>
          </rPr>
          <t xml:space="preserve">
Goal of 30%+ adjusted EBITDA margin and $100m of Free Cash Flow for 2025</t>
        </r>
      </text>
    </comment>
  </commentList>
</comments>
</file>

<file path=xl/sharedStrings.xml><?xml version="1.0" encoding="utf-8"?>
<sst xmlns="http://schemas.openxmlformats.org/spreadsheetml/2006/main" count="107" uniqueCount="93">
  <si>
    <t>Revenue</t>
  </si>
  <si>
    <t>COGS</t>
  </si>
  <si>
    <t>Gross profit</t>
  </si>
  <si>
    <t>R&amp;D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</si>
  <si>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</si>
  <si>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</si>
  <si>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</si>
  <si>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</si>
  <si>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</si>
  <si>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</si>
  <si>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</si>
  <si>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</si>
  <si>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</si>
  <si>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</si>
  <si>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</si>
  <si>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</si>
  <si>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</si>
  <si>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</si>
  <si>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</si>
  <si>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</si>
  <si>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</si>
  <si>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</si>
  <si>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</si>
  <si>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</si>
  <si>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</si>
  <si>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</si>
  <si>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</si>
  <si>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</si>
  <si>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</si>
  <si>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</si>
  <si>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</si>
  <si>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</si>
  <si>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</si>
  <si>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</si>
  <si>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</si>
  <si>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</si>
  <si>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</si>
  <si>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</si>
  <si>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Chegg</t>
  </si>
  <si>
    <t>CHGG</t>
  </si>
  <si>
    <t>S&amp;M</t>
  </si>
  <si>
    <t>G&amp;A</t>
  </si>
  <si>
    <t>Net cash</t>
  </si>
  <si>
    <t>A/R</t>
  </si>
  <si>
    <t>Prepaid</t>
  </si>
  <si>
    <t>Other current</t>
  </si>
  <si>
    <t>Investments</t>
  </si>
  <si>
    <t>PP&amp;E</t>
  </si>
  <si>
    <t>Goodwill</t>
  </si>
  <si>
    <t>ROU</t>
  </si>
  <si>
    <t>DT</t>
  </si>
  <si>
    <t>Other assets</t>
  </si>
  <si>
    <t>Assets</t>
  </si>
  <si>
    <t>A/P</t>
  </si>
  <si>
    <t>D/R</t>
  </si>
  <si>
    <t>Accrued liabilities</t>
  </si>
  <si>
    <t>Lease</t>
  </si>
  <si>
    <t>Other</t>
  </si>
  <si>
    <t>Liabilities</t>
  </si>
  <si>
    <t>S/E</t>
  </si>
  <si>
    <t>L+S/E</t>
  </si>
  <si>
    <t>Model NI</t>
  </si>
  <si>
    <t>Reported NI</t>
  </si>
  <si>
    <t>D&amp;A</t>
  </si>
  <si>
    <t>SBC</t>
  </si>
  <si>
    <t>Amor of debt issuance cost</t>
  </si>
  <si>
    <t>Loss PP&amp;E</t>
  </si>
  <si>
    <t>Impairment expense</t>
  </si>
  <si>
    <t>Gain early extinguishment of debt</t>
  </si>
  <si>
    <t>Loss constingency</t>
  </si>
  <si>
    <t>Impairment on lease</t>
  </si>
  <si>
    <t>Other liabilities</t>
  </si>
  <si>
    <t>Working capital</t>
  </si>
  <si>
    <t>CFFO</t>
  </si>
  <si>
    <t>CapEx</t>
  </si>
  <si>
    <t>Disposition of textbooks</t>
  </si>
  <si>
    <t>Purchase of investments</t>
  </si>
  <si>
    <t>Maturities of investments</t>
  </si>
  <si>
    <t>Proceeds from sale of investments</t>
  </si>
  <si>
    <t>Purchase of strategic equity investments</t>
  </si>
  <si>
    <t>Proceeds from sale of strategic equity investments</t>
  </si>
  <si>
    <t>CFFI</t>
  </si>
  <si>
    <t>ESOP</t>
  </si>
  <si>
    <t>Taxes of equity awards</t>
  </si>
  <si>
    <t>Buybacks</t>
  </si>
  <si>
    <t>Repayment of convertible senior notes</t>
  </si>
  <si>
    <t>Proceeds from exercise of convertible senior notes</t>
  </si>
  <si>
    <t>CFFF</t>
  </si>
  <si>
    <t>FX</t>
  </si>
  <si>
    <t>CIC</t>
  </si>
  <si>
    <t>Cash end of period</t>
  </si>
  <si>
    <t>FCF</t>
  </si>
  <si>
    <t>FCF 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</si>
</sst>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13]d/mmm;@"/>
  </numFmts>
  <fonts count="6" x14ac:knownFonts="1">
    <font>
      <sz val="11"/>
      <color theme="1"/>
      <name val="Consolas"/>
      <family val="2"/>
    </font>
    <font>
      <sz val="24"/>
      <color theme="1"/>
      <name val="Consolas"/>
      <family val="2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0" fontId="1" fillId="0" borderId="0" xfId="0" applyFont="1"/>
    <xf numFmtId="3" fontId="2" fillId="0" borderId="0" xfId="0" applyNumberFormat="1" applyFont="1"/>
    <xf numFmtId="9" fontId="2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0</xdr:row>
      <xdr:rowOff>47625</xdr:rowOff>
    </xdr:from>
    <xdr:to>
      <xdr:col>16</xdr:col>
      <xdr:colOff>28575</xdr:colOff>
      <xdr:row>95</xdr:row>
      <xdr:rowOff>180975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37FD9FF-EDD5-DDB7-A6E0-864449165087}"/>
            </a:ext>
          </a:extLst>
        </xdr:cNvPr>
        <xdr:cNvCxnSpPr/>
      </xdr:nvCxnSpPr>
      <xdr:spPr>
        <a:xfrm>
          <a:off x="11696700" y="47625"/>
          <a:ext cx="0" cy="184404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0</xdr:row>
      <xdr:rowOff>57150</xdr:rowOff>
    </xdr:from>
    <xdr:to>
      <xdr:col>28</xdr:col>
      <xdr:colOff>19050</xdr:colOff>
      <xdr:row>31</xdr:row>
      <xdr:rowOff>19050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C6465BB-03B4-4D66-987C-5FE4EB9CF243}"/>
            </a:ext>
          </a:extLst>
        </xdr:cNvPr>
        <xdr:cNvCxnSpPr/>
      </xdr:nvCxnSpPr>
      <xdr:spPr>
        <a:xfrm>
          <a:off x="19916775" y="57150"/>
          <a:ext cx="0" cy="626745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59188-1F2F-42CB-B3DD-DAABE13D6AAD}">
  <dimension ref="A1:L8"/>
  <sheetViews>
    <sheetView workbookViewId="0">
      <selection activeCell="L6" sqref="L6"/>
    </sheetView>
  </sheetViews>
  <sheetFormatPr defaultRowHeight="15" x14ac:dyDescent="0.25"/>
  <cols>
    <col min="1" max="1" width="12.875" bestFit="1" customWidth="1"/>
  </cols>
  <sheetData>
    <row r="1" spans="1:12" ht="30.75" x14ac:dyDescent="0.45">
      <c r="A1" s="6" t="s">
        <v>38</v>
      </c>
    </row>
    <row r="2" spans="1:12" x14ac:dyDescent="0.25">
      <c r="A2" t="s">
        <v>39</v>
      </c>
    </row>
    <row r="3" spans="1:12" x14ac:dyDescent="0.25">
      <c r="K3" t="s">
        <v>33</v>
      </c>
      <c r="L3">
        <v>1.71</v>
      </c>
    </row>
    <row r="4" spans="1:12" x14ac:dyDescent="0.25">
      <c r="K4" t="s">
        <v>11</v>
      </c>
      <c r="L4" s="1">
        <v>104.307327</v>
      </c>
    </row>
    <row r="5" spans="1:12" x14ac:dyDescent="0.25">
      <c r="K5" t="s">
        <v>34</v>
      </c>
      <c r="L5" s="1">
        <f>+L3*L4</f>
        <v>178.36552917</v>
      </c>
    </row>
    <row r="6" spans="1:12" x14ac:dyDescent="0.25">
      <c r="K6" t="s">
        <v>35</v>
      </c>
      <c r="L6" s="1">
        <f>152.073+209.003+270.161</f>
        <v>631.23700000000008</v>
      </c>
    </row>
    <row r="7" spans="1:12" x14ac:dyDescent="0.25">
      <c r="K7" t="s">
        <v>36</v>
      </c>
      <c r="L7" s="1">
        <f>358.222+243.242</f>
        <v>601.46399999999994</v>
      </c>
    </row>
    <row r="8" spans="1:12" x14ac:dyDescent="0.25">
      <c r="K8" t="s">
        <v>37</v>
      </c>
      <c r="L8" s="1">
        <f>+L5-L6+L7</f>
        <v>148.59252916999986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40DE-EA09-49FD-9C12-50B4B9834BB2}">
  <dimension ref="A1:AM92"/>
  <sheetViews>
    <sheetView tabSelected="1" workbookViewId="0">
      <pane xSplit="1" ySplit="3" topLeftCell="H43" activePane="bottomRight" state="frozen"/>
      <selection pane="topRight" activeCell="B1" sqref="B1"/>
      <selection pane="bottomLeft" activeCell="A3" sqref="A3"/>
      <selection pane="bottomRight" activeCell="Q12" sqref="Q12"/>
    </sheetView>
  </sheetViews>
  <sheetFormatPr defaultRowHeight="15" x14ac:dyDescent="0.25"/>
  <cols>
    <col min="1" max="1" width="18.125" style="1" bestFit="1" customWidth="1"/>
    <col min="2" max="16384" width="9" style="1"/>
  </cols>
  <sheetData>
    <row r="1" spans="1:39" ht="30.75" x14ac:dyDescent="0.45">
      <c r="A1" s="6" t="s">
        <v>38</v>
      </c>
    </row>
    <row r="2" spans="1:39" s="10" customFormat="1" ht="15.75" customHeight="1" x14ac:dyDescent="0.45">
      <c r="A2" s="9"/>
      <c r="J2" s="10">
        <v>45382</v>
      </c>
      <c r="K2" s="10">
        <v>45473</v>
      </c>
      <c r="L2" s="10">
        <v>45565</v>
      </c>
      <c r="M2" s="10">
        <v>45657</v>
      </c>
      <c r="N2" s="10">
        <v>45382</v>
      </c>
      <c r="O2" s="10">
        <v>45473</v>
      </c>
      <c r="P2" s="10">
        <v>45565</v>
      </c>
    </row>
    <row r="3" spans="1:39" x14ac:dyDescent="0.25">
      <c r="A3" t="s">
        <v>39</v>
      </c>
      <c r="B3" s="3" t="s">
        <v>17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18</v>
      </c>
      <c r="H3" s="3" t="s">
        <v>19</v>
      </c>
      <c r="I3" s="3" t="s">
        <v>24</v>
      </c>
      <c r="J3" s="3" t="s">
        <v>25</v>
      </c>
      <c r="K3" s="3" t="s">
        <v>26</v>
      </c>
      <c r="L3" s="3" t="s">
        <v>27</v>
      </c>
      <c r="M3" s="3" t="s">
        <v>28</v>
      </c>
      <c r="N3" s="3" t="s">
        <v>29</v>
      </c>
      <c r="O3" s="3" t="s">
        <v>30</v>
      </c>
      <c r="P3" s="3" t="s">
        <v>31</v>
      </c>
      <c r="Q3" s="3" t="s">
        <v>32</v>
      </c>
      <c r="S3" s="2">
        <v>2014</v>
      </c>
      <c r="T3" s="2">
        <f>+S3+1</f>
        <v>2015</v>
      </c>
      <c r="U3" s="2">
        <f t="shared" ref="U3:AN3" si="0">+T3+1</f>
        <v>2016</v>
      </c>
      <c r="V3" s="2">
        <f t="shared" si="0"/>
        <v>2017</v>
      </c>
      <c r="W3" s="2">
        <f t="shared" si="0"/>
        <v>2018</v>
      </c>
      <c r="X3" s="2">
        <f t="shared" si="0"/>
        <v>2019</v>
      </c>
      <c r="Y3" s="2">
        <f t="shared" si="0"/>
        <v>2020</v>
      </c>
      <c r="Z3" s="2">
        <f t="shared" si="0"/>
        <v>2021</v>
      </c>
      <c r="AA3" s="2">
        <f t="shared" si="0"/>
        <v>2022</v>
      </c>
      <c r="AB3" s="2">
        <f t="shared" si="0"/>
        <v>2023</v>
      </c>
      <c r="AC3" s="2">
        <f t="shared" si="0"/>
        <v>2024</v>
      </c>
      <c r="AD3" s="2">
        <f t="shared" si="0"/>
        <v>2025</v>
      </c>
      <c r="AE3" s="2">
        <f t="shared" si="0"/>
        <v>2026</v>
      </c>
      <c r="AF3" s="2">
        <f t="shared" si="0"/>
        <v>2027</v>
      </c>
      <c r="AG3" s="2">
        <f t="shared" si="0"/>
        <v>2028</v>
      </c>
      <c r="AH3" s="2">
        <f t="shared" si="0"/>
        <v>2029</v>
      </c>
      <c r="AI3" s="2">
        <f t="shared" si="0"/>
        <v>2030</v>
      </c>
      <c r="AJ3" s="2">
        <f t="shared" si="0"/>
        <v>2031</v>
      </c>
      <c r="AK3" s="2">
        <f t="shared" si="0"/>
        <v>2032</v>
      </c>
      <c r="AL3" s="2">
        <f t="shared" si="0"/>
        <v>2033</v>
      </c>
      <c r="AM3" s="2">
        <f t="shared" si="0"/>
        <v>2034</v>
      </c>
    </row>
    <row r="4" spans="1:39" s="7" customFormat="1" x14ac:dyDescent="0.25">
      <c r="A4" s="7" t="s">
        <v>0</v>
      </c>
      <c r="J4" s="7">
        <v>187.601</v>
      </c>
      <c r="K4" s="7">
        <v>182.85300000000001</v>
      </c>
      <c r="L4" s="7">
        <v>157.85400000000001</v>
      </c>
      <c r="M4" s="7">
        <f>+AB4-SUM(J4:L4)</f>
        <v>187.98699999999997</v>
      </c>
      <c r="N4" s="7">
        <v>174.35</v>
      </c>
      <c r="O4" s="7">
        <v>163.14699999999999</v>
      </c>
      <c r="P4" s="7">
        <v>136.59299999999999</v>
      </c>
      <c r="Z4" s="7">
        <v>776.26499999999999</v>
      </c>
      <c r="AA4" s="7">
        <v>766.89700000000005</v>
      </c>
      <c r="AB4" s="7">
        <v>716.29499999999996</v>
      </c>
    </row>
    <row r="5" spans="1:39" x14ac:dyDescent="0.25">
      <c r="A5" s="1" t="s">
        <v>1</v>
      </c>
      <c r="J5" s="1">
        <v>49.15</v>
      </c>
      <c r="K5" s="1">
        <v>47.411999999999999</v>
      </c>
      <c r="L5" s="1">
        <v>83.575000000000003</v>
      </c>
      <c r="M5" s="11">
        <f>+AB5-SUM(J5:L5)</f>
        <v>45.804000000000002</v>
      </c>
      <c r="N5" s="1">
        <v>46.497</v>
      </c>
      <c r="O5" s="1">
        <v>45.411000000000001</v>
      </c>
      <c r="P5" s="1">
        <v>43.42</v>
      </c>
      <c r="Z5" s="1">
        <v>254.904</v>
      </c>
      <c r="AA5" s="1">
        <v>197.39599999999999</v>
      </c>
      <c r="AB5" s="1">
        <v>225.941</v>
      </c>
    </row>
    <row r="6" spans="1:39" x14ac:dyDescent="0.25">
      <c r="A6" s="1" t="s">
        <v>2</v>
      </c>
      <c r="J6" s="1">
        <f>+J4-J5</f>
        <v>138.45099999999999</v>
      </c>
      <c r="K6" s="1">
        <f>+K4-K5</f>
        <v>135.441</v>
      </c>
      <c r="L6" s="1">
        <f>+L4-L5</f>
        <v>74.279000000000011</v>
      </c>
      <c r="M6" s="1">
        <f>+M4-M5</f>
        <v>142.18299999999996</v>
      </c>
      <c r="N6" s="1">
        <f>+N4-N5</f>
        <v>127.85299999999999</v>
      </c>
      <c r="O6" s="1">
        <f>+O4-O5</f>
        <v>117.73599999999999</v>
      </c>
      <c r="P6" s="1">
        <f>+P4-P5</f>
        <v>93.172999999999988</v>
      </c>
      <c r="Z6" s="1">
        <f>+Z4-Z5</f>
        <v>521.36099999999999</v>
      </c>
      <c r="AA6" s="1">
        <f>+AA4-AA5</f>
        <v>569.50100000000009</v>
      </c>
      <c r="AB6" s="1">
        <f>+AB4-AB5</f>
        <v>490.35399999999993</v>
      </c>
    </row>
    <row r="7" spans="1:39" x14ac:dyDescent="0.25">
      <c r="A7" s="1" t="s">
        <v>3</v>
      </c>
      <c r="J7" s="1">
        <v>46.906999999999996</v>
      </c>
      <c r="K7" s="1">
        <v>52.872</v>
      </c>
      <c r="L7" s="1">
        <v>46.201999999999998</v>
      </c>
      <c r="M7" s="11">
        <f t="shared" ref="M7:M9" si="1">+AB7-SUM(J7:L7)</f>
        <v>45.724000000000018</v>
      </c>
      <c r="N7" s="1">
        <v>44.435000000000002</v>
      </c>
      <c r="O7" s="1">
        <v>43.651000000000003</v>
      </c>
      <c r="P7" s="1">
        <v>41.337000000000003</v>
      </c>
      <c r="Z7" s="1">
        <v>178.821</v>
      </c>
      <c r="AA7" s="1">
        <v>196.637</v>
      </c>
      <c r="AB7" s="1">
        <v>191.70500000000001</v>
      </c>
    </row>
    <row r="8" spans="1:39" x14ac:dyDescent="0.25">
      <c r="A8" s="1" t="s">
        <v>40</v>
      </c>
      <c r="J8" s="1">
        <v>37.017000000000003</v>
      </c>
      <c r="K8" s="1">
        <v>30.956</v>
      </c>
      <c r="L8" s="1">
        <v>28.872</v>
      </c>
      <c r="M8" s="11">
        <f t="shared" si="1"/>
        <v>29.745999999999995</v>
      </c>
      <c r="N8" s="1">
        <v>30.375</v>
      </c>
      <c r="O8" s="1">
        <v>23.545000000000002</v>
      </c>
      <c r="P8" s="1">
        <v>26.507999999999999</v>
      </c>
      <c r="Z8" s="1">
        <v>105.414</v>
      </c>
      <c r="AA8" s="1">
        <v>147.66</v>
      </c>
      <c r="AB8" s="1">
        <v>126.59099999999999</v>
      </c>
    </row>
    <row r="9" spans="1:39" x14ac:dyDescent="0.25">
      <c r="A9" s="1" t="s">
        <v>41</v>
      </c>
      <c r="J9" s="1">
        <v>58.972999999999999</v>
      </c>
      <c r="K9" s="1">
        <v>70.308999999999997</v>
      </c>
      <c r="L9" s="1">
        <v>53.475000000000001</v>
      </c>
      <c r="M9" s="11">
        <f t="shared" si="1"/>
        <v>57.02600000000001</v>
      </c>
      <c r="N9" s="1">
        <v>55.533999999999999</v>
      </c>
      <c r="O9" s="1">
        <v>54.015999999999998</v>
      </c>
      <c r="P9" s="1">
        <v>51.91</v>
      </c>
      <c r="Z9" s="1">
        <v>159.01900000000001</v>
      </c>
      <c r="AA9" s="1">
        <v>216.24700000000001</v>
      </c>
      <c r="AB9" s="1">
        <v>239.78299999999999</v>
      </c>
    </row>
    <row r="10" spans="1:39" x14ac:dyDescent="0.25">
      <c r="A10" s="1" t="s">
        <v>4</v>
      </c>
      <c r="J10" s="1">
        <f>+SUM(J7:J9)</f>
        <v>142.89699999999999</v>
      </c>
      <c r="K10" s="1">
        <f>+SUM(K7:K9)</f>
        <v>154.137</v>
      </c>
      <c r="L10" s="1">
        <f>+SUM(L7:L9)</f>
        <v>128.54900000000001</v>
      </c>
      <c r="M10" s="1">
        <f>+SUM(M7:M9)</f>
        <v>132.49600000000004</v>
      </c>
      <c r="N10" s="1">
        <f>+SUM(N7:N9)</f>
        <v>130.34399999999999</v>
      </c>
      <c r="O10" s="1">
        <f>+SUM(O7:O9)</f>
        <v>121.21199999999999</v>
      </c>
      <c r="P10" s="1">
        <f>+SUM(P7:P9)</f>
        <v>119.755</v>
      </c>
      <c r="Z10" s="1">
        <f>+SUM(Z7:Z9)</f>
        <v>443.25400000000002</v>
      </c>
      <c r="AA10" s="1">
        <f>+SUM(AA7:AA9)</f>
        <v>560.5440000000001</v>
      </c>
      <c r="AB10" s="1">
        <f>+SUM(AB7:AB9)</f>
        <v>558.07899999999995</v>
      </c>
    </row>
    <row r="11" spans="1:39" x14ac:dyDescent="0.25">
      <c r="A11" s="1" t="s">
        <v>5</v>
      </c>
      <c r="J11" s="1">
        <f t="shared" ref="J11:O11" si="2">+J6-J10</f>
        <v>-4.445999999999998</v>
      </c>
      <c r="K11" s="1">
        <f t="shared" si="2"/>
        <v>-18.695999999999998</v>
      </c>
      <c r="L11" s="1">
        <f t="shared" si="2"/>
        <v>-54.269999999999996</v>
      </c>
      <c r="M11" s="1">
        <f t="shared" si="2"/>
        <v>9.6869999999999266</v>
      </c>
      <c r="N11" s="1">
        <f t="shared" si="2"/>
        <v>-2.4909999999999997</v>
      </c>
      <c r="O11" s="1">
        <f t="shared" si="2"/>
        <v>-3.4759999999999991</v>
      </c>
      <c r="P11" s="1">
        <f>+P6-P10</f>
        <v>-26.582000000000008</v>
      </c>
      <c r="Z11" s="1">
        <f>+Z6-Z10</f>
        <v>78.106999999999971</v>
      </c>
      <c r="AA11" s="1">
        <f>+AA6-AA10</f>
        <v>8.9569999999999936</v>
      </c>
      <c r="AB11" s="1">
        <f>+AB6-AB10</f>
        <v>-67.725000000000023</v>
      </c>
    </row>
    <row r="12" spans="1:39" x14ac:dyDescent="0.25">
      <c r="A12" s="1" t="s">
        <v>6</v>
      </c>
      <c r="J12" s="1">
        <f>-1.268+12.076</f>
        <v>10.808</v>
      </c>
      <c r="K12" s="1">
        <f>-1.114+64.103</f>
        <v>62.988999999999997</v>
      </c>
      <c r="L12" s="1">
        <f>-0.733+40.492</f>
        <v>39.759</v>
      </c>
      <c r="M12" s="11">
        <f t="shared" ref="M12:M14" si="3">+AB12-SUM(J12:L12)</f>
        <v>4.4810000000000088</v>
      </c>
      <c r="N12" s="1">
        <f>-0.65+10.78</f>
        <v>10.129999999999999</v>
      </c>
      <c r="O12" s="1">
        <f>-0.651+7.119</f>
        <v>6.468</v>
      </c>
      <c r="P12" s="1">
        <f>-0.658+7.586</f>
        <v>6.9279999999999999</v>
      </c>
      <c r="Z12" s="1">
        <f>-6.896-65.472</f>
        <v>-72.367999999999995</v>
      </c>
      <c r="AA12" s="1">
        <f>-6.04+101.029</f>
        <v>94.98899999999999</v>
      </c>
      <c r="AB12" s="1">
        <f>-3.773+121.81</f>
        <v>118.03700000000001</v>
      </c>
    </row>
    <row r="13" spans="1:39" x14ac:dyDescent="0.25">
      <c r="A13" s="1" t="s">
        <v>7</v>
      </c>
      <c r="J13" s="1">
        <f>+J11+J12</f>
        <v>6.3620000000000019</v>
      </c>
      <c r="K13" s="1">
        <f>+K11+K12</f>
        <v>44.292999999999999</v>
      </c>
      <c r="L13" s="1">
        <f>+L11+L12</f>
        <v>-14.510999999999996</v>
      </c>
      <c r="M13" s="1">
        <f>+M11+M12</f>
        <v>14.167999999999935</v>
      </c>
      <c r="N13" s="1">
        <f>+N11+N12</f>
        <v>7.6389999999999993</v>
      </c>
      <c r="O13" s="1">
        <f>+O11+O12</f>
        <v>2.9920000000000009</v>
      </c>
      <c r="P13" s="1">
        <f>+P11+P12</f>
        <v>-19.654000000000007</v>
      </c>
      <c r="Z13" s="1">
        <f>+Z11+Z12</f>
        <v>5.7389999999999759</v>
      </c>
      <c r="AA13" s="1">
        <f>+AA11+AA12</f>
        <v>103.94599999999998</v>
      </c>
      <c r="AB13" s="1">
        <f>+AB11+AB12</f>
        <v>50.311999999999983</v>
      </c>
    </row>
    <row r="14" spans="1:39" x14ac:dyDescent="0.25">
      <c r="A14" s="1" t="s">
        <v>8</v>
      </c>
      <c r="J14" s="1">
        <v>4.1760000000000002</v>
      </c>
      <c r="K14" s="1">
        <v>19.681000000000001</v>
      </c>
      <c r="L14" s="1">
        <v>0.17199999999999999</v>
      </c>
      <c r="M14" s="11">
        <f t="shared" si="3"/>
        <v>8.102999999999998</v>
      </c>
      <c r="N14" s="1">
        <v>9.0589999999999993</v>
      </c>
      <c r="O14" s="1">
        <v>138.345</v>
      </c>
      <c r="P14" s="1">
        <v>-2.7229999999999999</v>
      </c>
      <c r="Z14" s="1">
        <v>-7.1970000000000001</v>
      </c>
      <c r="AA14" s="1">
        <v>-162.69200000000001</v>
      </c>
      <c r="AB14" s="1">
        <v>32.131999999999998</v>
      </c>
    </row>
    <row r="15" spans="1:39" x14ac:dyDescent="0.25">
      <c r="A15" s="1" t="s">
        <v>9</v>
      </c>
      <c r="J15" s="1">
        <f>+J13-J14</f>
        <v>2.1860000000000017</v>
      </c>
      <c r="K15" s="1">
        <f>+K13-K14</f>
        <v>24.611999999999998</v>
      </c>
      <c r="L15" s="1">
        <f>+L13-L14</f>
        <v>-14.682999999999996</v>
      </c>
      <c r="M15" s="1">
        <f>+M13-M14</f>
        <v>6.0649999999999373</v>
      </c>
      <c r="N15" s="1">
        <f>+N13-N14</f>
        <v>-1.42</v>
      </c>
      <c r="O15" s="1">
        <f>+O13-O14</f>
        <v>-135.35300000000001</v>
      </c>
      <c r="P15" s="1">
        <f>+P13-P14</f>
        <v>-16.931000000000008</v>
      </c>
      <c r="Z15" s="1">
        <f>+Z13-Z14</f>
        <v>12.935999999999975</v>
      </c>
      <c r="AA15" s="1">
        <f>+AA13-AA14</f>
        <v>266.63799999999998</v>
      </c>
      <c r="AB15" s="1">
        <f>+AB13-AB14</f>
        <v>18.179999999999986</v>
      </c>
    </row>
    <row r="16" spans="1:39" s="5" customFormat="1" x14ac:dyDescent="0.25">
      <c r="A16" s="5" t="s">
        <v>10</v>
      </c>
      <c r="J16" s="5">
        <v>124.304</v>
      </c>
      <c r="K16" s="5">
        <f>+K15/K17</f>
        <v>0.18104513623256635</v>
      </c>
      <c r="L16" s="5">
        <f>+L15/L17</f>
        <v>-0.12722798443768574</v>
      </c>
      <c r="M16" s="5">
        <f>+M15/M17</f>
        <v>5.1242839520775428E-2</v>
      </c>
      <c r="N16" s="5">
        <v>102.343</v>
      </c>
      <c r="O16" s="5">
        <f>+O15/O17</f>
        <v>-1.3191785895286734</v>
      </c>
      <c r="P16" s="5">
        <f>+P15/P17</f>
        <v>-0.1632328413177406</v>
      </c>
      <c r="Z16" s="5">
        <f>+Z15/Z17</f>
        <v>9.1574521102631812E-2</v>
      </c>
      <c r="AA16" s="5">
        <f>+AA15/AA17</f>
        <v>1.779259170286736</v>
      </c>
      <c r="AB16" s="5">
        <f>+AB15/AB17</f>
        <v>0.14140267093933986</v>
      </c>
    </row>
    <row r="17" spans="1:28" x14ac:dyDescent="0.25">
      <c r="A17" s="1" t="s">
        <v>11</v>
      </c>
      <c r="J17" s="1">
        <v>103.723</v>
      </c>
      <c r="K17" s="1">
        <v>135.94399999999999</v>
      </c>
      <c r="L17" s="1">
        <v>115.407</v>
      </c>
      <c r="M17" s="1">
        <f>+AVERAGE(J17:L17)</f>
        <v>118.35799999999999</v>
      </c>
      <c r="N17" s="1">
        <v>103.723</v>
      </c>
      <c r="O17" s="1">
        <v>102.604</v>
      </c>
      <c r="P17" s="1">
        <v>103.723</v>
      </c>
      <c r="Z17" s="1">
        <v>141.262</v>
      </c>
      <c r="AA17" s="1">
        <v>149.85900000000001</v>
      </c>
      <c r="AB17" s="1">
        <v>128.56899999999999</v>
      </c>
    </row>
    <row r="19" spans="1:28" s="4" customFormat="1" x14ac:dyDescent="0.25">
      <c r="A19" s="4" t="s">
        <v>12</v>
      </c>
      <c r="J19" s="4">
        <f>+J6/J4</f>
        <v>0.73800779313543097</v>
      </c>
      <c r="K19" s="4">
        <f>+K6/K4</f>
        <v>0.74070975045528376</v>
      </c>
      <c r="L19" s="4">
        <f>+L6/L4</f>
        <v>0.47055506987469436</v>
      </c>
      <c r="M19" s="4">
        <f>+M6/M4</f>
        <v>0.75634485363349591</v>
      </c>
      <c r="N19" s="4">
        <f>+N6/N4</f>
        <v>0.73331230283911675</v>
      </c>
      <c r="O19" s="4">
        <f>+O6/O4</f>
        <v>0.72165592992822425</v>
      </c>
      <c r="P19" s="4">
        <f>+P6/P4</f>
        <v>0.6821213385751832</v>
      </c>
      <c r="Z19" s="4">
        <f>+Z6/Z4</f>
        <v>0.67162760139900679</v>
      </c>
      <c r="AA19" s="4">
        <f>+AA6/AA4</f>
        <v>0.74260428714677462</v>
      </c>
      <c r="AB19" s="4">
        <f>+AB6/AB4</f>
        <v>0.68456990485763536</v>
      </c>
    </row>
    <row r="20" spans="1:28" s="4" customFormat="1" x14ac:dyDescent="0.25">
      <c r="A20" s="4" t="s">
        <v>13</v>
      </c>
      <c r="J20" s="4">
        <f>+J11/J4</f>
        <v>-2.3699234012611863E-2</v>
      </c>
      <c r="K20" s="4">
        <f>+K11/K4</f>
        <v>-0.1022460665124444</v>
      </c>
      <c r="L20" s="4">
        <f>+L11/L4</f>
        <v>-0.3437987000646166</v>
      </c>
      <c r="M20" s="4">
        <f>+M11/M4</f>
        <v>5.1530159000356027E-2</v>
      </c>
      <c r="N20" s="4">
        <f>+N11/N4</f>
        <v>-1.4287353025523371E-2</v>
      </c>
      <c r="O20" s="4">
        <f>+O11/O4</f>
        <v>-2.1305938815914478E-2</v>
      </c>
      <c r="P20" s="4">
        <f>+P11/P4</f>
        <v>-0.19460733712562145</v>
      </c>
      <c r="Z20" s="4">
        <f>+Z11/Z4</f>
        <v>0.10061898964915328</v>
      </c>
      <c r="AA20" s="4">
        <f>+AA11/AA4</f>
        <v>1.1679534539840412E-2</v>
      </c>
      <c r="AB20" s="4">
        <f>+AB11/AB4</f>
        <v>-9.4549033568571639E-2</v>
      </c>
    </row>
    <row r="21" spans="1:28" s="4" customFormat="1" x14ac:dyDescent="0.25">
      <c r="A21" s="4" t="s">
        <v>14</v>
      </c>
      <c r="J21" s="4">
        <f>+J15/J4</f>
        <v>1.1652389912633737E-2</v>
      </c>
      <c r="K21" s="4">
        <f>+K15/K4</f>
        <v>0.13459992452954012</v>
      </c>
      <c r="L21" s="4">
        <f>+L15/L4</f>
        <v>-9.3016331546872388E-2</v>
      </c>
      <c r="M21" s="4">
        <f>+M15/M4</f>
        <v>3.2262869240957823E-2</v>
      </c>
      <c r="N21" s="4">
        <f>+N15/N4</f>
        <v>-8.1445368511614564E-3</v>
      </c>
      <c r="O21" s="4">
        <f>+O15/O4</f>
        <v>-0.82963830165433639</v>
      </c>
      <c r="P21" s="4">
        <f>+P15/P4</f>
        <v>-0.12395217910141815</v>
      </c>
      <c r="Z21" s="4">
        <f>+Z15/Z4</f>
        <v>1.6664412281888242E-2</v>
      </c>
      <c r="AA21" s="4">
        <f>+AA15/AA4</f>
        <v>0.34768423921334934</v>
      </c>
      <c r="AB21" s="4">
        <f>+AB15/AB4</f>
        <v>2.5380604359935482E-2</v>
      </c>
    </row>
    <row r="22" spans="1:28" s="4" customFormat="1" x14ac:dyDescent="0.25">
      <c r="A22" s="4" t="s">
        <v>15</v>
      </c>
      <c r="J22" s="4">
        <f>+J14/J13</f>
        <v>0.6563973593209681</v>
      </c>
      <c r="K22" s="4">
        <f>+K14/K13</f>
        <v>0.44433657688573819</v>
      </c>
      <c r="L22" s="4">
        <f>+L14/L13</f>
        <v>-1.1853076976087109E-2</v>
      </c>
      <c r="M22" s="4">
        <f>+M14/M13</f>
        <v>0.57192264257481895</v>
      </c>
      <c r="N22" s="4">
        <f>+N14/N13</f>
        <v>1.1858882052624689</v>
      </c>
      <c r="O22" s="4">
        <f>+O14/O13</f>
        <v>46.238302139037422</v>
      </c>
      <c r="P22" s="4">
        <f>+P14/P13</f>
        <v>0.13854686068993582</v>
      </c>
      <c r="Z22" s="4">
        <f>+Z14/Z13</f>
        <v>-1.2540512284370151</v>
      </c>
      <c r="AA22" s="4">
        <f>+AA14/AA13</f>
        <v>-1.5651588324707062</v>
      </c>
      <c r="AB22" s="4">
        <f>+AB14/AB13</f>
        <v>0.63865479408491033</v>
      </c>
    </row>
    <row r="23" spans="1:28" s="4" customFormat="1" x14ac:dyDescent="0.25"/>
    <row r="24" spans="1:28" s="8" customFormat="1" x14ac:dyDescent="0.25">
      <c r="A24" s="8" t="s">
        <v>16</v>
      </c>
      <c r="J24" s="8" t="e">
        <f>+J4/F4-1</f>
        <v>#DIV/0!</v>
      </c>
      <c r="K24" s="8" t="e">
        <f>+K4/G4-1</f>
        <v>#DIV/0!</v>
      </c>
      <c r="L24" s="8" t="e">
        <f>+L4/H4-1</f>
        <v>#DIV/0!</v>
      </c>
      <c r="M24" s="8" t="e">
        <f>+M4/I4-1</f>
        <v>#DIV/0!</v>
      </c>
      <c r="N24" s="8">
        <f>+N4/J4-1</f>
        <v>-7.0633951844606413E-2</v>
      </c>
      <c r="O24" s="8">
        <f>+O4/K4-1</f>
        <v>-0.10776962915566068</v>
      </c>
      <c r="P24" s="8">
        <f>+P4/L4-1</f>
        <v>-0.13468774943935546</v>
      </c>
      <c r="Z24" s="8" t="e">
        <f>+Z4/Y4-1</f>
        <v>#DIV/0!</v>
      </c>
      <c r="AA24" s="8">
        <f>+AA4/Z4-1</f>
        <v>-1.2068043773711179E-2</v>
      </c>
      <c r="AB24" s="8">
        <f>+AB4/AA4-1</f>
        <v>-6.5982785171933234E-2</v>
      </c>
    </row>
    <row r="26" spans="1:28" x14ac:dyDescent="0.25">
      <c r="A26" s="1" t="s">
        <v>42</v>
      </c>
      <c r="M26" s="1">
        <f>+M27-M41</f>
        <v>-269.82299999999998</v>
      </c>
      <c r="N26" s="1">
        <f>+N27-N41</f>
        <v>-209.61700000000008</v>
      </c>
      <c r="O26" s="1">
        <f>+O27-O41</f>
        <v>-255.45300000000003</v>
      </c>
      <c r="P26" s="1">
        <f>+P27-P41</f>
        <v>-269.82299999999998</v>
      </c>
    </row>
    <row r="27" spans="1:28" x14ac:dyDescent="0.25">
      <c r="A27" s="1" t="s">
        <v>35</v>
      </c>
      <c r="M27" s="1">
        <f>135.757+194.257</f>
        <v>330.01400000000001</v>
      </c>
      <c r="N27" s="1">
        <f>143.747+247.013</f>
        <v>390.76</v>
      </c>
      <c r="O27" s="1">
        <f>133.068+212.396</f>
        <v>345.464</v>
      </c>
      <c r="P27" s="1">
        <f>135.757+194.257</f>
        <v>330.01400000000001</v>
      </c>
    </row>
    <row r="28" spans="1:28" x14ac:dyDescent="0.25">
      <c r="A28" s="1" t="s">
        <v>43</v>
      </c>
      <c r="M28" s="1">
        <v>31.404</v>
      </c>
      <c r="N28" s="1">
        <v>24.741</v>
      </c>
      <c r="O28" s="1">
        <v>20.963999999999999</v>
      </c>
      <c r="P28" s="1">
        <v>31.404</v>
      </c>
    </row>
    <row r="29" spans="1:28" x14ac:dyDescent="0.25">
      <c r="A29" s="1" t="s">
        <v>44</v>
      </c>
      <c r="M29" s="1">
        <v>20.98</v>
      </c>
      <c r="N29" s="1">
        <v>20.428999999999998</v>
      </c>
      <c r="O29" s="1">
        <v>30.841000000000001</v>
      </c>
      <c r="P29" s="1">
        <v>20.98</v>
      </c>
    </row>
    <row r="30" spans="1:28" x14ac:dyDescent="0.25">
      <c r="A30" s="1" t="s">
        <v>45</v>
      </c>
      <c r="M30" s="1">
        <v>32.436999999999998</v>
      </c>
      <c r="N30" s="1">
        <v>30.01</v>
      </c>
      <c r="O30" s="1">
        <v>36.279000000000003</v>
      </c>
      <c r="P30" s="1">
        <v>32.436999999999998</v>
      </c>
    </row>
    <row r="31" spans="1:28" x14ac:dyDescent="0.25">
      <c r="A31" s="1" t="s">
        <v>46</v>
      </c>
      <c r="M31" s="1">
        <v>249.547</v>
      </c>
      <c r="N31" s="1">
        <v>221.66499999999999</v>
      </c>
      <c r="O31" s="1">
        <v>259.92500000000001</v>
      </c>
      <c r="P31" s="1">
        <v>249.547</v>
      </c>
    </row>
    <row r="32" spans="1:28" x14ac:dyDescent="0.25">
      <c r="A32" s="1" t="s">
        <v>47</v>
      </c>
      <c r="M32" s="1">
        <v>183.07300000000001</v>
      </c>
      <c r="N32" s="1">
        <v>188.43</v>
      </c>
      <c r="O32" s="1">
        <v>179.27799999999999</v>
      </c>
      <c r="P32" s="1">
        <v>183.07300000000001</v>
      </c>
    </row>
    <row r="33" spans="1:16" x14ac:dyDescent="0.25">
      <c r="A33" s="1" t="s">
        <v>48</v>
      </c>
      <c r="M33" s="1">
        <f>631.995+52.43</f>
        <v>684.42499999999995</v>
      </c>
      <c r="N33" s="1">
        <f>628.784+48.143</f>
        <v>676.92700000000002</v>
      </c>
      <c r="O33" s="1">
        <f>189.769+12.848</f>
        <v>202.61700000000002</v>
      </c>
      <c r="P33" s="1">
        <f>631.995+52.43</f>
        <v>684.42499999999995</v>
      </c>
    </row>
    <row r="34" spans="1:16" x14ac:dyDescent="0.25">
      <c r="A34" s="1" t="s">
        <v>49</v>
      </c>
      <c r="M34" s="1">
        <v>25.13</v>
      </c>
      <c r="N34" s="1">
        <v>23.521000000000001</v>
      </c>
      <c r="O34" s="1">
        <v>21.507999999999999</v>
      </c>
      <c r="P34" s="1">
        <v>25.13</v>
      </c>
    </row>
    <row r="35" spans="1:16" x14ac:dyDescent="0.25">
      <c r="A35" s="1" t="s">
        <v>50</v>
      </c>
      <c r="M35" s="1">
        <v>141.84299999999999</v>
      </c>
      <c r="N35" s="1">
        <v>140.19999999999999</v>
      </c>
      <c r="O35" s="1">
        <v>2.2869999999999999</v>
      </c>
      <c r="P35" s="1">
        <v>141.84299999999999</v>
      </c>
    </row>
    <row r="36" spans="1:16" x14ac:dyDescent="0.25">
      <c r="A36" s="1" t="s">
        <v>51</v>
      </c>
      <c r="M36" s="1">
        <v>28.382000000000001</v>
      </c>
      <c r="N36" s="1">
        <v>15.961</v>
      </c>
      <c r="O36" s="1">
        <v>15.167</v>
      </c>
      <c r="P36" s="1">
        <v>28.382000000000001</v>
      </c>
    </row>
    <row r="37" spans="1:16" s="7" customFormat="1" x14ac:dyDescent="0.25">
      <c r="A37" s="7" t="s">
        <v>52</v>
      </c>
      <c r="M37" s="7">
        <f>+SUM(M27:M36)</f>
        <v>1727.2350000000004</v>
      </c>
      <c r="N37" s="7">
        <f>+SUM(N27:N36)</f>
        <v>1732.644</v>
      </c>
      <c r="O37" s="7">
        <f>+SUM(O27:O36)</f>
        <v>1114.33</v>
      </c>
      <c r="P37" s="7">
        <f>+SUM(P27:P36)</f>
        <v>1727.2350000000004</v>
      </c>
    </row>
    <row r="38" spans="1:16" x14ac:dyDescent="0.25">
      <c r="A38" s="1" t="s">
        <v>53</v>
      </c>
      <c r="M38" s="1">
        <v>28.184000000000001</v>
      </c>
      <c r="N38" s="1">
        <v>20.119</v>
      </c>
      <c r="O38" s="1">
        <v>14.423999999999999</v>
      </c>
      <c r="P38" s="1">
        <v>28.184000000000001</v>
      </c>
    </row>
    <row r="39" spans="1:16" x14ac:dyDescent="0.25">
      <c r="A39" s="1" t="s">
        <v>54</v>
      </c>
      <c r="M39" s="1">
        <v>55.335999999999999</v>
      </c>
      <c r="N39" s="1">
        <v>54.055999999999997</v>
      </c>
      <c r="O39" s="1">
        <v>45.023000000000003</v>
      </c>
      <c r="P39" s="1">
        <v>55.335999999999999</v>
      </c>
    </row>
    <row r="40" spans="1:16" x14ac:dyDescent="0.25">
      <c r="A40" s="1" t="s">
        <v>55</v>
      </c>
      <c r="M40" s="1">
        <v>77.863</v>
      </c>
      <c r="N40" s="1">
        <v>73.555000000000007</v>
      </c>
      <c r="O40" s="1">
        <v>68.001000000000005</v>
      </c>
      <c r="P40" s="1">
        <v>77.863</v>
      </c>
    </row>
    <row r="41" spans="1:16" x14ac:dyDescent="0.25">
      <c r="A41" s="1" t="s">
        <v>36</v>
      </c>
      <c r="M41" s="1">
        <f>357.079+242.758</f>
        <v>599.83699999999999</v>
      </c>
      <c r="N41" s="1">
        <f>357.458+242.919</f>
        <v>600.37700000000007</v>
      </c>
      <c r="O41" s="1">
        <f>357.838+243.079</f>
        <v>600.91700000000003</v>
      </c>
      <c r="P41" s="1">
        <f>357.079+242.758</f>
        <v>599.83699999999999</v>
      </c>
    </row>
    <row r="42" spans="1:16" x14ac:dyDescent="0.25">
      <c r="A42" s="1" t="s">
        <v>56</v>
      </c>
      <c r="M42" s="1">
        <v>18.062999999999999</v>
      </c>
      <c r="N42" s="1">
        <v>16.46</v>
      </c>
      <c r="O42" s="1">
        <v>15.595000000000001</v>
      </c>
      <c r="P42" s="1">
        <v>18.062999999999999</v>
      </c>
    </row>
    <row r="43" spans="1:16" x14ac:dyDescent="0.25">
      <c r="A43" s="1" t="s">
        <v>57</v>
      </c>
      <c r="M43" s="1">
        <v>3.3340000000000001</v>
      </c>
      <c r="N43" s="1">
        <v>4.6029999999999998</v>
      </c>
      <c r="O43" s="1">
        <v>4.87</v>
      </c>
      <c r="P43" s="1">
        <v>3.3340000000000001</v>
      </c>
    </row>
    <row r="44" spans="1:16" s="7" customFormat="1" x14ac:dyDescent="0.25">
      <c r="A44" s="7" t="s">
        <v>58</v>
      </c>
      <c r="M44" s="7">
        <f>+SUM(M38:M43)</f>
        <v>782.61699999999996</v>
      </c>
      <c r="N44" s="7">
        <f>+SUM(N38:N43)</f>
        <v>769.17000000000007</v>
      </c>
      <c r="O44" s="7">
        <f>+SUM(O38:O43)</f>
        <v>748.83</v>
      </c>
      <c r="P44" s="7">
        <f>+SUM(P38:P43)</f>
        <v>782.61699999999996</v>
      </c>
    </row>
    <row r="45" spans="1:16" x14ac:dyDescent="0.25">
      <c r="A45" s="1" t="s">
        <v>59</v>
      </c>
      <c r="M45" s="1">
        <v>944.61800000000005</v>
      </c>
      <c r="N45" s="1">
        <v>963.47400000000005</v>
      </c>
      <c r="O45" s="1">
        <v>365.5</v>
      </c>
      <c r="P45" s="1">
        <v>944.61800000000005</v>
      </c>
    </row>
    <row r="46" spans="1:16" x14ac:dyDescent="0.25">
      <c r="A46" s="1" t="s">
        <v>60</v>
      </c>
      <c r="M46" s="1">
        <f>+M45+M44</f>
        <v>1727.2350000000001</v>
      </c>
      <c r="N46" s="1">
        <f>+N45+N44</f>
        <v>1732.6440000000002</v>
      </c>
      <c r="O46" s="1">
        <f>+O45+O44</f>
        <v>1114.33</v>
      </c>
      <c r="P46" s="1">
        <f>+P45+P44</f>
        <v>1727.2350000000001</v>
      </c>
    </row>
    <row r="48" spans="1:16" x14ac:dyDescent="0.25">
      <c r="A48" s="1" t="s">
        <v>61</v>
      </c>
      <c r="J48" s="1">
        <f t="shared" ref="J48:M48" si="4">+J15</f>
        <v>2.1860000000000017</v>
      </c>
      <c r="K48" s="1">
        <f t="shared" si="4"/>
        <v>24.611999999999998</v>
      </c>
      <c r="L48" s="1">
        <f t="shared" si="4"/>
        <v>-14.682999999999996</v>
      </c>
      <c r="M48" s="1">
        <f t="shared" si="4"/>
        <v>6.0649999999999373</v>
      </c>
      <c r="N48" s="1">
        <f t="shared" ref="N48:O48" si="5">+N15</f>
        <v>-1.42</v>
      </c>
      <c r="O48" s="1">
        <f t="shared" si="5"/>
        <v>-135.35300000000001</v>
      </c>
      <c r="P48" s="1">
        <f>+P15</f>
        <v>-16.931000000000008</v>
      </c>
    </row>
    <row r="49" spans="1:14" x14ac:dyDescent="0.25">
      <c r="A49" s="1" t="s">
        <v>62</v>
      </c>
      <c r="N49" s="1">
        <v>-1.42</v>
      </c>
    </row>
    <row r="50" spans="1:14" x14ac:dyDescent="0.25">
      <c r="A50" s="1" t="s">
        <v>64</v>
      </c>
      <c r="N50" s="1">
        <v>29.289000000000001</v>
      </c>
    </row>
    <row r="51" spans="1:14" x14ac:dyDescent="0.25">
      <c r="A51" s="1" t="s">
        <v>63</v>
      </c>
      <c r="N51" s="1">
        <v>19.687000000000001</v>
      </c>
    </row>
    <row r="52" spans="1:14" x14ac:dyDescent="0.25">
      <c r="A52" s="1" t="s">
        <v>50</v>
      </c>
      <c r="N52" s="1">
        <v>2.8769999999999998</v>
      </c>
    </row>
    <row r="53" spans="1:14" x14ac:dyDescent="0.25">
      <c r="A53" s="1" t="s">
        <v>56</v>
      </c>
      <c r="N53" s="1">
        <v>1.5669999999999999</v>
      </c>
    </row>
    <row r="54" spans="1:14" x14ac:dyDescent="0.25">
      <c r="A54" s="1" t="s">
        <v>65</v>
      </c>
      <c r="N54" s="1">
        <v>0.54100000000000004</v>
      </c>
    </row>
    <row r="55" spans="1:14" x14ac:dyDescent="0.25">
      <c r="A55" s="1" t="s">
        <v>66</v>
      </c>
      <c r="N55" s="1">
        <v>0.47799999999999998</v>
      </c>
    </row>
    <row r="56" spans="1:14" x14ac:dyDescent="0.25">
      <c r="A56" s="1" t="s">
        <v>67</v>
      </c>
      <c r="N56" s="1">
        <v>0</v>
      </c>
    </row>
    <row r="57" spans="1:14" x14ac:dyDescent="0.25">
      <c r="A57" s="1" t="s">
        <v>68</v>
      </c>
      <c r="N57" s="1">
        <v>0</v>
      </c>
    </row>
    <row r="58" spans="1:14" x14ac:dyDescent="0.25">
      <c r="A58" s="1" t="s">
        <v>69</v>
      </c>
      <c r="N58" s="1">
        <v>0</v>
      </c>
    </row>
    <row r="59" spans="1:14" x14ac:dyDescent="0.25">
      <c r="A59" s="1" t="s">
        <v>70</v>
      </c>
      <c r="N59" s="1">
        <v>0</v>
      </c>
    </row>
    <row r="60" spans="1:14" x14ac:dyDescent="0.25">
      <c r="A60" s="1" t="s">
        <v>51</v>
      </c>
      <c r="N60" s="1">
        <v>-3.1E-2</v>
      </c>
    </row>
    <row r="61" spans="1:14" x14ac:dyDescent="0.25">
      <c r="A61" s="1" t="s">
        <v>43</v>
      </c>
      <c r="N61" s="1">
        <v>6.7050000000000001</v>
      </c>
    </row>
    <row r="62" spans="1:14" x14ac:dyDescent="0.25">
      <c r="A62" s="1" t="s">
        <v>44</v>
      </c>
      <c r="N62" s="1">
        <v>3.5830000000000002</v>
      </c>
    </row>
    <row r="63" spans="1:14" x14ac:dyDescent="0.25">
      <c r="A63" s="1" t="s">
        <v>57</v>
      </c>
      <c r="N63" s="1">
        <v>-1.27</v>
      </c>
    </row>
    <row r="64" spans="1:14" x14ac:dyDescent="0.25">
      <c r="A64" s="1" t="s">
        <v>53</v>
      </c>
      <c r="N64" s="1">
        <v>-6.5890000000000004</v>
      </c>
    </row>
    <row r="65" spans="1:14" x14ac:dyDescent="0.25">
      <c r="A65" s="1" t="s">
        <v>54</v>
      </c>
      <c r="N65" s="1">
        <v>-1.159</v>
      </c>
    </row>
    <row r="66" spans="1:14" x14ac:dyDescent="0.25">
      <c r="A66" s="1" t="s">
        <v>55</v>
      </c>
      <c r="N66" s="1">
        <v>0.64</v>
      </c>
    </row>
    <row r="67" spans="1:14" x14ac:dyDescent="0.25">
      <c r="A67" s="1" t="s">
        <v>71</v>
      </c>
      <c r="N67" s="1">
        <v>-1.58</v>
      </c>
    </row>
    <row r="68" spans="1:14" x14ac:dyDescent="0.25">
      <c r="A68" s="1" t="s">
        <v>72</v>
      </c>
      <c r="N68" s="1">
        <f>+SUM(N61:N67)</f>
        <v>0.33000000000000007</v>
      </c>
    </row>
    <row r="69" spans="1:14" x14ac:dyDescent="0.25">
      <c r="A69" s="1" t="s">
        <v>73</v>
      </c>
      <c r="N69" s="1">
        <f>+N68+SUM(N49:N60)</f>
        <v>53.317999999999998</v>
      </c>
    </row>
    <row r="71" spans="1:14" x14ac:dyDescent="0.25">
      <c r="A71" s="1" t="s">
        <v>74</v>
      </c>
      <c r="N71" s="1">
        <v>-28.016999999999999</v>
      </c>
    </row>
    <row r="72" spans="1:14" x14ac:dyDescent="0.25">
      <c r="A72" s="1" t="s">
        <v>75</v>
      </c>
      <c r="N72" s="1">
        <v>0</v>
      </c>
    </row>
    <row r="73" spans="1:14" x14ac:dyDescent="0.25">
      <c r="A73" s="1" t="s">
        <v>76</v>
      </c>
      <c r="N73" s="1">
        <v>-79.028000000000006</v>
      </c>
    </row>
    <row r="74" spans="1:14" x14ac:dyDescent="0.25">
      <c r="A74" s="1" t="s">
        <v>77</v>
      </c>
      <c r="N74" s="1">
        <v>50.731000000000002</v>
      </c>
    </row>
    <row r="75" spans="1:14" x14ac:dyDescent="0.25">
      <c r="A75" s="1" t="s">
        <v>78</v>
      </c>
      <c r="N75" s="1">
        <v>0</v>
      </c>
    </row>
    <row r="76" spans="1:14" x14ac:dyDescent="0.25">
      <c r="A76" s="1" t="s">
        <v>80</v>
      </c>
      <c r="N76" s="1">
        <v>15.5</v>
      </c>
    </row>
    <row r="77" spans="1:14" x14ac:dyDescent="0.25">
      <c r="A77" s="1" t="s">
        <v>79</v>
      </c>
      <c r="N77" s="1">
        <v>0</v>
      </c>
    </row>
    <row r="78" spans="1:14" x14ac:dyDescent="0.25">
      <c r="A78" s="1" t="s">
        <v>81</v>
      </c>
      <c r="N78" s="1">
        <f>+SUM(N71:N77)</f>
        <v>-40.814</v>
      </c>
    </row>
    <row r="80" spans="1:14" x14ac:dyDescent="0.25">
      <c r="A80" s="1" t="s">
        <v>82</v>
      </c>
      <c r="N80" s="1">
        <v>0</v>
      </c>
    </row>
    <row r="81" spans="1:30" x14ac:dyDescent="0.25">
      <c r="A81" s="1" t="s">
        <v>83</v>
      </c>
      <c r="N81" s="1">
        <v>-4.2939999999999996</v>
      </c>
    </row>
    <row r="82" spans="1:30" x14ac:dyDescent="0.25">
      <c r="A82" s="1" t="s">
        <v>84</v>
      </c>
      <c r="N82" s="1">
        <v>0</v>
      </c>
    </row>
    <row r="83" spans="1:30" x14ac:dyDescent="0.25">
      <c r="A83" s="1" t="s">
        <v>85</v>
      </c>
      <c r="N83" s="1">
        <v>0</v>
      </c>
    </row>
    <row r="84" spans="1:30" x14ac:dyDescent="0.25">
      <c r="A84" s="1" t="s">
        <v>86</v>
      </c>
      <c r="N84" s="1">
        <v>0</v>
      </c>
    </row>
    <row r="85" spans="1:30" x14ac:dyDescent="0.25">
      <c r="A85" s="1" t="s">
        <v>87</v>
      </c>
      <c r="N85" s="1">
        <f>+SUM(N80:N84)</f>
        <v>-4.2939999999999996</v>
      </c>
    </row>
    <row r="87" spans="1:30" x14ac:dyDescent="0.25">
      <c r="A87" s="1" t="s">
        <v>88</v>
      </c>
      <c r="N87" s="1">
        <v>-0.22600000000000001</v>
      </c>
    </row>
    <row r="88" spans="1:30" x14ac:dyDescent="0.25">
      <c r="A88" s="1" t="s">
        <v>89</v>
      </c>
      <c r="N88" s="1">
        <f>+N69+N78+N85+N87</f>
        <v>7.9839999999999973</v>
      </c>
    </row>
    <row r="89" spans="1:30" x14ac:dyDescent="0.25">
      <c r="A89" s="1" t="s">
        <v>90</v>
      </c>
      <c r="N89" s="1">
        <v>145.96</v>
      </c>
    </row>
    <row r="91" spans="1:30" x14ac:dyDescent="0.25">
      <c r="A91" s="1" t="s">
        <v>91</v>
      </c>
      <c r="N91" s="1">
        <f>+N69+N71</f>
        <v>25.300999999999998</v>
      </c>
      <c r="AD91" s="1">
        <v>100</v>
      </c>
    </row>
    <row r="92" spans="1:30" x14ac:dyDescent="0.25">
      <c r="A92" s="1" t="s">
        <v>92</v>
      </c>
      <c r="N92" s="1">
        <f>+SUM(K91:N91)</f>
        <v>25.300999999999998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2024-11-15T09:04:40Z</dcterms:created>
  <dcterms:modified xsi:type="dcterms:W3CDTF">2024-11-15T22:05:06Z</dcterms:modified>
</cp:coreProperties>
</file>