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\"/>
    </mc:Choice>
  </mc:AlternateContent>
  <xr:revisionPtr revIDLastSave="0" documentId="13_ncr:1_{B8D437F0-8F19-4FB8-9E83-357131E8D772}" xr6:coauthVersionLast="47" xr6:coauthVersionMax="47" xr10:uidLastSave="{00000000-0000-0000-0000-000000000000}"/>
  <bookViews>
    <workbookView xWindow="195" yWindow="150" windowWidth="14220" windowHeight="15300" activeTab="1" xr2:uid="{1D1C17E4-0F85-4A5F-B369-7C318A07A5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2" l="1"/>
  <c r="AC12" i="2"/>
  <c r="AC13" i="2"/>
  <c r="AC11" i="2"/>
  <c r="AC10" i="2"/>
  <c r="AC9" i="2"/>
  <c r="AC8" i="2"/>
  <c r="AC7" i="2"/>
  <c r="AC6" i="2"/>
  <c r="AC5" i="2"/>
  <c r="AC4" i="2"/>
  <c r="Q12" i="2"/>
  <c r="Q13" i="2"/>
  <c r="Q11" i="2"/>
  <c r="Q10" i="2"/>
  <c r="Q9" i="2"/>
  <c r="Q8" i="2"/>
  <c r="Q7" i="2"/>
  <c r="Q6" i="2"/>
  <c r="Q5" i="2"/>
  <c r="Q4" i="2"/>
  <c r="Q20" i="2"/>
  <c r="Q3" i="2"/>
  <c r="L10" i="1"/>
  <c r="M73" i="2"/>
  <c r="N73" i="2"/>
  <c r="O73" i="2"/>
  <c r="P73" i="2"/>
  <c r="M72" i="2"/>
  <c r="M70" i="2"/>
  <c r="M69" i="2"/>
  <c r="M67" i="2"/>
  <c r="M66" i="2"/>
  <c r="M65" i="2"/>
  <c r="M64" i="2"/>
  <c r="M62" i="2"/>
  <c r="M61" i="2"/>
  <c r="L72" i="2"/>
  <c r="L70" i="2"/>
  <c r="L69" i="2"/>
  <c r="L67" i="2"/>
  <c r="L66" i="2"/>
  <c r="L65" i="2"/>
  <c r="L64" i="2"/>
  <c r="L62" i="2"/>
  <c r="L61" i="2"/>
  <c r="P72" i="2"/>
  <c r="P70" i="2"/>
  <c r="P69" i="2"/>
  <c r="P67" i="2"/>
  <c r="P66" i="2"/>
  <c r="P65" i="2"/>
  <c r="P64" i="2"/>
  <c r="P62" i="2"/>
  <c r="P61" i="2"/>
  <c r="K72" i="2"/>
  <c r="K70" i="2"/>
  <c r="K69" i="2"/>
  <c r="K67" i="2"/>
  <c r="K66" i="2"/>
  <c r="K65" i="2"/>
  <c r="K64" i="2"/>
  <c r="K62" i="2"/>
  <c r="K61" i="2"/>
  <c r="O72" i="2"/>
  <c r="O70" i="2"/>
  <c r="O69" i="2"/>
  <c r="O67" i="2"/>
  <c r="O66" i="2"/>
  <c r="O65" i="2"/>
  <c r="O64" i="2"/>
  <c r="O62" i="2"/>
  <c r="O61" i="2"/>
  <c r="J72" i="2"/>
  <c r="J70" i="2"/>
  <c r="J67" i="2"/>
  <c r="J62" i="2"/>
  <c r="J61" i="2"/>
  <c r="N72" i="2"/>
  <c r="N67" i="2"/>
  <c r="N70" i="2"/>
  <c r="N62" i="2"/>
  <c r="M52" i="2"/>
  <c r="M51" i="2"/>
  <c r="L49" i="2"/>
  <c r="M49" i="2" s="1"/>
  <c r="L48" i="2"/>
  <c r="M48" i="2" s="1"/>
  <c r="L47" i="2"/>
  <c r="M47" i="2" s="1"/>
  <c r="P50" i="2"/>
  <c r="P49" i="2"/>
  <c r="P48" i="2"/>
  <c r="P45" i="2"/>
  <c r="N58" i="2"/>
  <c r="N59" i="2" s="1"/>
  <c r="K57" i="2"/>
  <c r="L57" i="2" s="1"/>
  <c r="M57" i="2" s="1"/>
  <c r="K56" i="2"/>
  <c r="K55" i="2"/>
  <c r="K54" i="2"/>
  <c r="K58" i="2" s="1"/>
  <c r="K59" i="2" s="1"/>
  <c r="K53" i="2"/>
  <c r="L53" i="2" s="1"/>
  <c r="K50" i="2"/>
  <c r="K49" i="2"/>
  <c r="K48" i="2"/>
  <c r="K47" i="2"/>
  <c r="K46" i="2"/>
  <c r="L46" i="2" s="1"/>
  <c r="M46" i="2" s="1"/>
  <c r="K45" i="2"/>
  <c r="O57" i="2"/>
  <c r="P57" i="2" s="1"/>
  <c r="O56" i="2"/>
  <c r="P56" i="2" s="1"/>
  <c r="O55" i="2"/>
  <c r="P55" i="2" s="1"/>
  <c r="O54" i="2"/>
  <c r="P54" i="2" s="1"/>
  <c r="P58" i="2" s="1"/>
  <c r="P59" i="2" s="1"/>
  <c r="O53" i="2"/>
  <c r="P53" i="2" s="1"/>
  <c r="O50" i="2"/>
  <c r="O49" i="2"/>
  <c r="O48" i="2"/>
  <c r="O47" i="2"/>
  <c r="P47" i="2" s="1"/>
  <c r="O46" i="2"/>
  <c r="P46" i="2" s="1"/>
  <c r="O45" i="2"/>
  <c r="J58" i="2"/>
  <c r="J59" i="2" s="1"/>
  <c r="N37" i="2"/>
  <c r="N22" i="2" s="1"/>
  <c r="N26" i="2"/>
  <c r="N40" i="2"/>
  <c r="N42" i="2" s="1"/>
  <c r="N34" i="2"/>
  <c r="O37" i="2"/>
  <c r="O40" i="2" s="1"/>
  <c r="O42" i="2" s="1"/>
  <c r="O26" i="2"/>
  <c r="O34" i="2" s="1"/>
  <c r="O22" i="2"/>
  <c r="P37" i="2"/>
  <c r="P40" i="2" s="1"/>
  <c r="P42" i="2" s="1"/>
  <c r="P26" i="2"/>
  <c r="P34" i="2" s="1"/>
  <c r="Y8" i="2"/>
  <c r="Y20" i="2"/>
  <c r="Y5" i="2"/>
  <c r="Y15" i="2" s="1"/>
  <c r="Z8" i="2"/>
  <c r="Z20" i="2"/>
  <c r="Z5" i="2"/>
  <c r="Z15" i="2" s="1"/>
  <c r="E8" i="2"/>
  <c r="E5" i="2"/>
  <c r="E15" i="2" s="1"/>
  <c r="B8" i="2"/>
  <c r="B5" i="2"/>
  <c r="B15" i="2" s="1"/>
  <c r="F8" i="2"/>
  <c r="F20" i="2"/>
  <c r="F5" i="2"/>
  <c r="F15" i="2" s="1"/>
  <c r="C8" i="2"/>
  <c r="C5" i="2"/>
  <c r="C15" i="2" s="1"/>
  <c r="G8" i="2"/>
  <c r="G20" i="2"/>
  <c r="G5" i="2"/>
  <c r="G7" i="2" s="1"/>
  <c r="D8" i="2"/>
  <c r="D5" i="2"/>
  <c r="D7" i="2" s="1"/>
  <c r="H8" i="2"/>
  <c r="H20" i="2"/>
  <c r="H5" i="2"/>
  <c r="H7" i="2" s="1"/>
  <c r="AA8" i="2"/>
  <c r="AA20" i="2"/>
  <c r="AA5" i="2"/>
  <c r="AA15" i="2" s="1"/>
  <c r="AB20" i="2"/>
  <c r="AB8" i="2"/>
  <c r="I8" i="2"/>
  <c r="I20" i="2"/>
  <c r="I5" i="2"/>
  <c r="I15" i="2" s="1"/>
  <c r="M20" i="2"/>
  <c r="M5" i="2"/>
  <c r="M15" i="2" s="1"/>
  <c r="AB5" i="2"/>
  <c r="AB7" i="2" s="1"/>
  <c r="J8" i="2"/>
  <c r="J20" i="2"/>
  <c r="J5" i="2"/>
  <c r="J7" i="2" s="1"/>
  <c r="N20" i="2"/>
  <c r="N5" i="2"/>
  <c r="N7" i="2" s="1"/>
  <c r="K8" i="2"/>
  <c r="K20" i="2"/>
  <c r="K5" i="2"/>
  <c r="K7" i="2" s="1"/>
  <c r="O20" i="2"/>
  <c r="O5" i="2"/>
  <c r="O15" i="2" s="1"/>
  <c r="L8" i="2"/>
  <c r="L20" i="2"/>
  <c r="L5" i="2"/>
  <c r="L7" i="2" s="1"/>
  <c r="P20" i="2"/>
  <c r="P5" i="2"/>
  <c r="P7" i="2" s="1"/>
  <c r="L8" i="1"/>
  <c r="L7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L50" i="2" l="1"/>
  <c r="M50" i="2" s="1"/>
  <c r="O58" i="2"/>
  <c r="O59" i="2" s="1"/>
  <c r="L54" i="2"/>
  <c r="M53" i="2"/>
  <c r="L55" i="2"/>
  <c r="M55" i="2" s="1"/>
  <c r="M54" i="2"/>
  <c r="L56" i="2"/>
  <c r="M56" i="2" s="1"/>
  <c r="L45" i="2"/>
  <c r="M45" i="2" s="1"/>
  <c r="Y7" i="2"/>
  <c r="Y16" i="2" s="1"/>
  <c r="P22" i="2"/>
  <c r="P9" i="2"/>
  <c r="P16" i="2"/>
  <c r="P15" i="2"/>
  <c r="Z7" i="2"/>
  <c r="Z9" i="2" s="1"/>
  <c r="Z18" i="2" s="1"/>
  <c r="Y9" i="2"/>
  <c r="Z16" i="2"/>
  <c r="E7" i="2"/>
  <c r="E16" i="2" s="1"/>
  <c r="B7" i="2"/>
  <c r="F7" i="2"/>
  <c r="C7" i="2"/>
  <c r="C16" i="2" s="1"/>
  <c r="G16" i="2"/>
  <c r="G9" i="2"/>
  <c r="G15" i="2"/>
  <c r="D16" i="2"/>
  <c r="D9" i="2"/>
  <c r="D15" i="2"/>
  <c r="H16" i="2"/>
  <c r="H9" i="2"/>
  <c r="H15" i="2"/>
  <c r="AA7" i="2"/>
  <c r="I7" i="2"/>
  <c r="M7" i="2"/>
  <c r="AB16" i="2"/>
  <c r="AB9" i="2"/>
  <c r="AB15" i="2"/>
  <c r="J9" i="2"/>
  <c r="J16" i="2"/>
  <c r="J15" i="2"/>
  <c r="N9" i="2"/>
  <c r="N16" i="2"/>
  <c r="N15" i="2"/>
  <c r="K15" i="2"/>
  <c r="K9" i="2"/>
  <c r="K16" i="2"/>
  <c r="O7" i="2"/>
  <c r="L16" i="2"/>
  <c r="L9" i="2"/>
  <c r="L15" i="2"/>
  <c r="M58" i="2" l="1"/>
  <c r="M59" i="2" s="1"/>
  <c r="L58" i="2"/>
  <c r="L59" i="2" s="1"/>
  <c r="P11" i="2"/>
  <c r="P44" i="2" s="1"/>
  <c r="P18" i="2"/>
  <c r="Y18" i="2"/>
  <c r="Y11" i="2"/>
  <c r="Z11" i="2"/>
  <c r="E9" i="2"/>
  <c r="E18" i="2"/>
  <c r="E11" i="2"/>
  <c r="B16" i="2"/>
  <c r="B9" i="2"/>
  <c r="F16" i="2"/>
  <c r="F9" i="2"/>
  <c r="C9" i="2"/>
  <c r="C11" i="2" s="1"/>
  <c r="G18" i="2"/>
  <c r="G11" i="2"/>
  <c r="D18" i="2"/>
  <c r="D11" i="2"/>
  <c r="H18" i="2"/>
  <c r="H11" i="2"/>
  <c r="AA16" i="2"/>
  <c r="AA9" i="2"/>
  <c r="I16" i="2"/>
  <c r="I9" i="2"/>
  <c r="M16" i="2"/>
  <c r="M9" i="2"/>
  <c r="AB18" i="2"/>
  <c r="AB11" i="2"/>
  <c r="J18" i="2"/>
  <c r="J11" i="2"/>
  <c r="J44" i="2" s="1"/>
  <c r="N18" i="2"/>
  <c r="N11" i="2"/>
  <c r="N44" i="2" s="1"/>
  <c r="K18" i="2"/>
  <c r="K11" i="2"/>
  <c r="K44" i="2" s="1"/>
  <c r="O16" i="2"/>
  <c r="O9" i="2"/>
  <c r="L18" i="2"/>
  <c r="L11" i="2"/>
  <c r="L44" i="2" s="1"/>
  <c r="P17" i="2" l="1"/>
  <c r="P12" i="2"/>
  <c r="C18" i="2"/>
  <c r="Y17" i="2"/>
  <c r="Y12" i="2"/>
  <c r="Z17" i="2"/>
  <c r="Z12" i="2"/>
  <c r="E17" i="2"/>
  <c r="E12" i="2"/>
  <c r="B18" i="2"/>
  <c r="B11" i="2"/>
  <c r="F18" i="2"/>
  <c r="F11" i="2"/>
  <c r="C17" i="2"/>
  <c r="C12" i="2"/>
  <c r="G17" i="2"/>
  <c r="G12" i="2"/>
  <c r="D17" i="2"/>
  <c r="D12" i="2"/>
  <c r="H17" i="2"/>
  <c r="H12" i="2"/>
  <c r="AA18" i="2"/>
  <c r="AA11" i="2"/>
  <c r="I11" i="2"/>
  <c r="I18" i="2"/>
  <c r="M18" i="2"/>
  <c r="M11" i="2"/>
  <c r="M44" i="2" s="1"/>
  <c r="AB17" i="2"/>
  <c r="AB12" i="2"/>
  <c r="J17" i="2"/>
  <c r="J12" i="2"/>
  <c r="N17" i="2"/>
  <c r="N12" i="2"/>
  <c r="K17" i="2"/>
  <c r="K12" i="2"/>
  <c r="O18" i="2"/>
  <c r="O11" i="2"/>
  <c r="O44" i="2" s="1"/>
  <c r="L17" i="2"/>
  <c r="L12" i="2"/>
  <c r="B12" i="2" l="1"/>
  <c r="B17" i="2"/>
  <c r="F17" i="2"/>
  <c r="F12" i="2"/>
  <c r="AA17" i="2"/>
  <c r="AA12" i="2"/>
  <c r="I17" i="2"/>
  <c r="I12" i="2"/>
  <c r="M17" i="2"/>
  <c r="M12" i="2"/>
  <c r="O17" i="2"/>
  <c r="O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AC3" authorId="0" shapeId="0" xr:uid="{206AE86B-B75F-4678-9445-1A1074C61015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$495m - $505m</t>
        </r>
      </text>
    </comment>
  </commentList>
</comments>
</file>

<file path=xl/sharedStrings.xml><?xml version="1.0" encoding="utf-8"?>
<sst xmlns="http://schemas.openxmlformats.org/spreadsheetml/2006/main" count="88" uniqueCount="75">
  <si>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</si>
  <si>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</si>
  <si>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</si>
  <si>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</si>
  <si>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</si>
  <si>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</si>
  <si>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</si>
  <si>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</si>
  <si>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</si>
  <si>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</si>
  <si>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</si>
  <si>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</si>
  <si>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</si>
  <si>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</si>
  <si>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</si>
  <si>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</si>
  <si>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</si>
  <si>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</si>
  <si>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</si>
  <si>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</si>
  <si>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</si>
  <si>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</si>
  <si>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</si>
  <si>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</si>
  <si>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</si>
  <si>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</si>
  <si>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</si>
  <si>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</si>
  <si>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</si>
  <si>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</si>
  <si>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</si>
  <si>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</si>
  <si>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</si>
  <si>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</si>
  <si>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</si>
  <si>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</si>
  <si>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</si>
  <si>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Net cash</t>
  </si>
  <si>
    <t>A/R</t>
  </si>
  <si>
    <t>Inventory</t>
  </si>
  <si>
    <t>Supplier advances</t>
  </si>
  <si>
    <t>Derivatives</t>
  </si>
  <si>
    <t>Prepaid</t>
  </si>
  <si>
    <t>PP&amp;E</t>
  </si>
  <si>
    <t>Goodwill</t>
  </si>
  <si>
    <t>D/T</t>
  </si>
  <si>
    <t>ROU</t>
  </si>
  <si>
    <t>Other</t>
  </si>
  <si>
    <t>Assets</t>
  </si>
  <si>
    <t>A/P</t>
  </si>
  <si>
    <t>Derivaties</t>
  </si>
  <si>
    <t>Liabilties</t>
  </si>
  <si>
    <t>S/E</t>
  </si>
  <si>
    <t>L+S/E</t>
  </si>
  <si>
    <t>Accrued</t>
  </si>
  <si>
    <t>Model NI</t>
  </si>
  <si>
    <t>Reported NI</t>
  </si>
  <si>
    <t>D&amp;A</t>
  </si>
  <si>
    <t>Disposal</t>
  </si>
  <si>
    <t>Bad debt</t>
  </si>
  <si>
    <t>SBC</t>
  </si>
  <si>
    <t>Impairment</t>
  </si>
  <si>
    <t>Lease</t>
  </si>
  <si>
    <t>Iventory</t>
  </si>
  <si>
    <t>CFFO</t>
  </si>
  <si>
    <t>Working capital</t>
  </si>
  <si>
    <t>CapEx</t>
  </si>
  <si>
    <t>CFFI</t>
  </si>
  <si>
    <t>Stock awards</t>
  </si>
  <si>
    <t>Buybacks</t>
  </si>
  <si>
    <t>CFFF</t>
  </si>
  <si>
    <t>FX</t>
  </si>
  <si>
    <t>CIC</t>
  </si>
  <si>
    <t>FCF</t>
  </si>
  <si>
    <t>TTM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</si>
</sst>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#,##0.000"/>
    <numFmt numFmtId="166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81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AF7FE34-D43F-51A1-1B40-691F4B978B2F}"/>
            </a:ext>
          </a:extLst>
        </xdr:cNvPr>
        <xdr:cNvCxnSpPr/>
      </xdr:nvCxnSpPr>
      <xdr:spPr>
        <a:xfrm>
          <a:off x="10277475" y="0"/>
          <a:ext cx="0" cy="127920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80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6F1A02-4C30-4980-A138-9A60976B7911}"/>
            </a:ext>
          </a:extLst>
        </xdr:cNvPr>
        <xdr:cNvCxnSpPr/>
      </xdr:nvCxnSpPr>
      <xdr:spPr>
        <a:xfrm>
          <a:off x="17583150" y="0"/>
          <a:ext cx="0" cy="126396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BCE6-8FE2-4813-B44F-FBBDA570F65F}">
  <dimension ref="H3:M16"/>
  <sheetViews>
    <sheetView workbookViewId="0">
      <selection activeCell="M7" sqref="M4:M7"/>
    </sheetView>
  </sheetViews>
  <sheetFormatPr defaultRowHeight="12.75" x14ac:dyDescent="0.2"/>
  <cols>
    <col min="7" max="7" width="9.140625" customWidth="1"/>
  </cols>
  <sheetData>
    <row r="3" spans="8:13" x14ac:dyDescent="0.2">
      <c r="K3" t="s">
        <v>32</v>
      </c>
      <c r="L3">
        <v>38.369999999999997</v>
      </c>
    </row>
    <row r="4" spans="8:13" x14ac:dyDescent="0.2">
      <c r="K4" t="s">
        <v>10</v>
      </c>
      <c r="L4" s="1">
        <v>56.731938999999997</v>
      </c>
      <c r="M4" s="10" t="s">
        <v>30</v>
      </c>
    </row>
    <row r="5" spans="8:13" x14ac:dyDescent="0.2">
      <c r="K5" t="s">
        <v>33</v>
      </c>
      <c r="L5" s="1">
        <f>+L3*L4</f>
        <v>2176.8044994299999</v>
      </c>
      <c r="M5" s="10"/>
    </row>
    <row r="6" spans="8:13" x14ac:dyDescent="0.2">
      <c r="K6" t="s">
        <v>34</v>
      </c>
      <c r="L6" s="1">
        <v>156.70599999999999</v>
      </c>
      <c r="M6" s="10" t="s">
        <v>30</v>
      </c>
    </row>
    <row r="7" spans="8:13" x14ac:dyDescent="0.2">
      <c r="K7" t="s">
        <v>35</v>
      </c>
      <c r="L7" s="1">
        <f>0.01+0.005</f>
        <v>1.4999999999999999E-2</v>
      </c>
      <c r="M7" s="10" t="s">
        <v>30</v>
      </c>
    </row>
    <row r="8" spans="8:13" x14ac:dyDescent="0.2">
      <c r="K8" t="s">
        <v>36</v>
      </c>
      <c r="L8" s="1">
        <f>+L5-L6+L7</f>
        <v>2020.11349943</v>
      </c>
    </row>
    <row r="9" spans="8:13" x14ac:dyDescent="0.2">
      <c r="L9" s="1">
        <v>100</v>
      </c>
    </row>
    <row r="10" spans="8:13" x14ac:dyDescent="0.2">
      <c r="L10" s="9">
        <f>+L8/L9</f>
        <v>20.201134994300002</v>
      </c>
    </row>
    <row r="15" spans="8:13" x14ac:dyDescent="0.2">
      <c r="H15" s="1"/>
      <c r="I15" s="1"/>
    </row>
    <row r="16" spans="8:13" x14ac:dyDescent="0.2"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DE36-D3BA-4508-BFF5-6E232A9FA424}">
  <dimension ref="A1:AM7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s="7" customFormat="1" x14ac:dyDescent="0.2">
      <c r="B1" s="7">
        <v>44286</v>
      </c>
      <c r="C1" s="7">
        <v>44377</v>
      </c>
      <c r="D1" s="7">
        <v>44469</v>
      </c>
      <c r="E1" s="7">
        <v>44561</v>
      </c>
      <c r="F1" s="7">
        <v>44651</v>
      </c>
      <c r="G1" s="7">
        <v>44742</v>
      </c>
      <c r="H1" s="7">
        <v>44834</v>
      </c>
      <c r="I1" s="7">
        <v>44926</v>
      </c>
      <c r="J1" s="7">
        <v>45016</v>
      </c>
      <c r="K1" s="7">
        <v>45107</v>
      </c>
      <c r="L1" s="7">
        <v>45199</v>
      </c>
      <c r="M1" s="7">
        <v>45291</v>
      </c>
      <c r="N1" s="7">
        <v>45382</v>
      </c>
      <c r="O1" s="7">
        <v>45473</v>
      </c>
      <c r="P1" s="7">
        <v>45565</v>
      </c>
    </row>
    <row r="2" spans="1:39" x14ac:dyDescent="0.2">
      <c r="A2" s="2"/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17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s="5" customFormat="1" x14ac:dyDescent="0.2">
      <c r="A3" s="5" t="s">
        <v>0</v>
      </c>
      <c r="B3" s="5">
        <v>75.45</v>
      </c>
      <c r="C3" s="5">
        <v>101.81</v>
      </c>
      <c r="D3" s="5">
        <v>115.669</v>
      </c>
      <c r="E3" s="5">
        <v>86.584000000000003</v>
      </c>
      <c r="F3" s="5">
        <v>96.447999999999993</v>
      </c>
      <c r="G3" s="5">
        <v>115.30500000000001</v>
      </c>
      <c r="H3" s="5">
        <v>124.04300000000001</v>
      </c>
      <c r="I3" s="5">
        <v>91.991</v>
      </c>
      <c r="J3" s="5">
        <v>109.759</v>
      </c>
      <c r="K3" s="5">
        <v>139.64500000000001</v>
      </c>
      <c r="L3" s="5">
        <v>138.06399999999999</v>
      </c>
      <c r="M3" s="5">
        <v>106.14400000000001</v>
      </c>
      <c r="N3" s="5">
        <v>111.69799999999999</v>
      </c>
      <c r="O3" s="5">
        <v>144.11600000000001</v>
      </c>
      <c r="P3" s="5">
        <v>132.90600000000001</v>
      </c>
      <c r="Q3" s="5">
        <f>+AC3-SUM(N3:P3)</f>
        <v>116.27999999999997</v>
      </c>
      <c r="Y3" s="5">
        <v>310.64400000000001</v>
      </c>
      <c r="Z3" s="5">
        <v>379.51299999999998</v>
      </c>
      <c r="AA3" s="5">
        <v>427.78699999999998</v>
      </c>
      <c r="AB3" s="5">
        <v>493.61200000000002</v>
      </c>
      <c r="AC3" s="5">
        <v>505</v>
      </c>
    </row>
    <row r="4" spans="1:39" x14ac:dyDescent="0.2">
      <c r="A4" s="1" t="s">
        <v>1</v>
      </c>
      <c r="B4" s="1">
        <v>51.366</v>
      </c>
      <c r="C4" s="1">
        <v>72.834000000000003</v>
      </c>
      <c r="D4" s="1">
        <v>77.168000000000006</v>
      </c>
      <c r="E4" s="1">
        <v>64.997</v>
      </c>
      <c r="F4" s="1">
        <v>77.385000000000005</v>
      </c>
      <c r="G4" s="1">
        <v>86.016000000000005</v>
      </c>
      <c r="H4" s="1">
        <v>91.466999999999999</v>
      </c>
      <c r="I4" s="1">
        <v>69.558000000000007</v>
      </c>
      <c r="J4" s="1">
        <v>76.097999999999999</v>
      </c>
      <c r="K4" s="1">
        <v>88.551000000000002</v>
      </c>
      <c r="L4" s="1">
        <v>81.893000000000001</v>
      </c>
      <c r="M4" s="1">
        <v>66.340999999999994</v>
      </c>
      <c r="N4" s="1">
        <v>54.521000000000001</v>
      </c>
      <c r="O4" s="1">
        <v>85.379000000000005</v>
      </c>
      <c r="P4" s="1">
        <v>81.343999999999994</v>
      </c>
      <c r="Q4" s="1">
        <f>+M4*1.09</f>
        <v>72.311689999999999</v>
      </c>
      <c r="Y4" s="1">
        <v>205.786</v>
      </c>
      <c r="Z4" s="1">
        <v>266.36500000000001</v>
      </c>
      <c r="AA4" s="1">
        <v>324.42599999999999</v>
      </c>
      <c r="AB4" s="1">
        <v>312.88299999999998</v>
      </c>
      <c r="AC4" s="1">
        <f>+SUM(N4:Q4)</f>
        <v>293.55569000000003</v>
      </c>
    </row>
    <row r="5" spans="1:39" x14ac:dyDescent="0.2">
      <c r="A5" s="1" t="s">
        <v>2</v>
      </c>
      <c r="B5" s="1">
        <f t="shared" ref="B5:Q5" si="1">+B3-B4</f>
        <v>24.084000000000003</v>
      </c>
      <c r="C5" s="1">
        <f t="shared" si="1"/>
        <v>28.975999999999999</v>
      </c>
      <c r="D5" s="1">
        <f t="shared" si="1"/>
        <v>38.500999999999991</v>
      </c>
      <c r="E5" s="1">
        <f t="shared" si="1"/>
        <v>21.587000000000003</v>
      </c>
      <c r="F5" s="1">
        <f t="shared" si="1"/>
        <v>19.062999999999988</v>
      </c>
      <c r="G5" s="1">
        <f t="shared" si="1"/>
        <v>29.289000000000001</v>
      </c>
      <c r="H5" s="1">
        <f t="shared" si="1"/>
        <v>32.576000000000008</v>
      </c>
      <c r="I5" s="1">
        <f t="shared" si="1"/>
        <v>22.432999999999993</v>
      </c>
      <c r="J5" s="1">
        <f t="shared" si="1"/>
        <v>33.661000000000001</v>
      </c>
      <c r="K5" s="1">
        <f t="shared" si="1"/>
        <v>51.094000000000008</v>
      </c>
      <c r="L5" s="1">
        <f t="shared" si="1"/>
        <v>56.170999999999992</v>
      </c>
      <c r="M5" s="1">
        <f t="shared" si="1"/>
        <v>39.803000000000011</v>
      </c>
      <c r="N5" s="1">
        <f t="shared" si="1"/>
        <v>57.176999999999992</v>
      </c>
      <c r="O5" s="1">
        <f t="shared" si="1"/>
        <v>58.737000000000009</v>
      </c>
      <c r="P5" s="1">
        <f t="shared" si="1"/>
        <v>51.562000000000012</v>
      </c>
      <c r="Q5" s="1">
        <f t="shared" si="1"/>
        <v>43.968309999999974</v>
      </c>
      <c r="Y5" s="1">
        <f>+Y3-Y4</f>
        <v>104.858</v>
      </c>
      <c r="Z5" s="1">
        <f>+Z3-Z4</f>
        <v>113.14799999999997</v>
      </c>
      <c r="AA5" s="1">
        <f>+AA3-AA4</f>
        <v>103.36099999999999</v>
      </c>
      <c r="AB5" s="1">
        <f>+AB3-AB4</f>
        <v>180.72900000000004</v>
      </c>
      <c r="AC5" s="1">
        <f>+AC3-AC4</f>
        <v>211.44430999999997</v>
      </c>
    </row>
    <row r="6" spans="1:39" x14ac:dyDescent="0.2">
      <c r="A6" s="1" t="s">
        <v>3</v>
      </c>
      <c r="B6" s="1">
        <v>19.777999999999999</v>
      </c>
      <c r="C6" s="1">
        <v>21.443999999999999</v>
      </c>
      <c r="D6" s="1">
        <v>20.675000000000001</v>
      </c>
      <c r="E6" s="1">
        <v>26.661999999999999</v>
      </c>
      <c r="F6" s="1">
        <v>24.800999999999998</v>
      </c>
      <c r="G6" s="1">
        <v>24.257000000000001</v>
      </c>
      <c r="H6" s="1">
        <v>23.96</v>
      </c>
      <c r="I6" s="1">
        <v>27.288</v>
      </c>
      <c r="J6" s="1">
        <v>26.957000000000001</v>
      </c>
      <c r="K6" s="1">
        <v>30.248999999999999</v>
      </c>
      <c r="L6" s="1">
        <v>32.649000000000001</v>
      </c>
      <c r="M6" s="1">
        <v>34.381</v>
      </c>
      <c r="N6" s="1">
        <v>28.218</v>
      </c>
      <c r="O6" s="1">
        <v>28.756</v>
      </c>
      <c r="P6" s="1">
        <v>30.966999999999999</v>
      </c>
      <c r="Q6" s="1">
        <f>+M6*1.05</f>
        <v>36.100050000000003</v>
      </c>
      <c r="Y6" s="1">
        <v>74.400999999999996</v>
      </c>
      <c r="Z6" s="1">
        <v>88.558999999999997</v>
      </c>
      <c r="AA6" s="1">
        <v>100.306</v>
      </c>
      <c r="AB6" s="1">
        <v>124.236</v>
      </c>
      <c r="AC6" s="1">
        <f>+SUM(N6:Q6)</f>
        <v>124.04105000000001</v>
      </c>
    </row>
    <row r="7" spans="1:39" x14ac:dyDescent="0.2">
      <c r="A7" s="1" t="s">
        <v>4</v>
      </c>
      <c r="B7" s="1">
        <f t="shared" ref="B7:Q7" si="2">+B5-B6</f>
        <v>4.3060000000000045</v>
      </c>
      <c r="C7" s="1">
        <f t="shared" si="2"/>
        <v>7.532</v>
      </c>
      <c r="D7" s="1">
        <f t="shared" si="2"/>
        <v>17.82599999999999</v>
      </c>
      <c r="E7" s="1">
        <f t="shared" si="2"/>
        <v>-5.0749999999999957</v>
      </c>
      <c r="F7" s="1">
        <f t="shared" si="2"/>
        <v>-5.7380000000000102</v>
      </c>
      <c r="G7" s="1">
        <f t="shared" si="2"/>
        <v>5.032</v>
      </c>
      <c r="H7" s="1">
        <f t="shared" si="2"/>
        <v>8.6160000000000068</v>
      </c>
      <c r="I7" s="1">
        <f t="shared" si="2"/>
        <v>-4.8550000000000075</v>
      </c>
      <c r="J7" s="1">
        <f t="shared" si="2"/>
        <v>6.7040000000000006</v>
      </c>
      <c r="K7" s="1">
        <f t="shared" si="2"/>
        <v>20.84500000000001</v>
      </c>
      <c r="L7" s="1">
        <f t="shared" si="2"/>
        <v>23.521999999999991</v>
      </c>
      <c r="M7" s="1">
        <f t="shared" si="2"/>
        <v>5.4220000000000113</v>
      </c>
      <c r="N7" s="1">
        <f t="shared" si="2"/>
        <v>28.958999999999993</v>
      </c>
      <c r="O7" s="1">
        <f t="shared" si="2"/>
        <v>29.981000000000009</v>
      </c>
      <c r="P7" s="1">
        <f t="shared" si="2"/>
        <v>20.595000000000013</v>
      </c>
      <c r="Q7" s="1">
        <f t="shared" si="2"/>
        <v>7.8682599999999709</v>
      </c>
      <c r="Y7" s="1">
        <f>+Y5-Y6</f>
        <v>30.457000000000008</v>
      </c>
      <c r="Z7" s="1">
        <f>+Z5-Z6</f>
        <v>24.58899999999997</v>
      </c>
      <c r="AA7" s="1">
        <f>+AA5-AA6</f>
        <v>3.0549999999999926</v>
      </c>
      <c r="AB7" s="1">
        <f>+AB5-AB6</f>
        <v>56.493000000000038</v>
      </c>
      <c r="AC7" s="1">
        <f>+AC5-AC6</f>
        <v>87.40325999999996</v>
      </c>
    </row>
    <row r="8" spans="1:39" x14ac:dyDescent="0.2">
      <c r="A8" s="1" t="s">
        <v>5</v>
      </c>
      <c r="B8" s="1">
        <f>0.035-0.079</f>
        <v>-4.3999999999999997E-2</v>
      </c>
      <c r="C8" s="1">
        <f>0.038-0.113</f>
        <v>-7.5000000000000011E-2</v>
      </c>
      <c r="D8" s="1">
        <f>0.031-0.127</f>
        <v>-9.6000000000000002E-2</v>
      </c>
      <c r="E8" s="1">
        <f>0.023-0.041</f>
        <v>-1.8000000000000002E-2</v>
      </c>
      <c r="F8" s="1">
        <f>0.007-0.027</f>
        <v>-0.02</v>
      </c>
      <c r="G8" s="1">
        <f>0.003-0.056</f>
        <v>-5.2999999999999999E-2</v>
      </c>
      <c r="H8" s="1">
        <f>0.02-0.13</f>
        <v>-0.11</v>
      </c>
      <c r="I8" s="1">
        <f>0.021-0.045</f>
        <v>-2.3999999999999997E-2</v>
      </c>
      <c r="J8" s="1">
        <f>0.013-0.015</f>
        <v>-2E-3</v>
      </c>
      <c r="K8" s="1">
        <f>0.268-0.015</f>
        <v>0.253</v>
      </c>
      <c r="L8" s="1">
        <f>0.824-0.001</f>
        <v>0.82299999999999995</v>
      </c>
      <c r="M8" s="1">
        <v>1.476</v>
      </c>
      <c r="N8" s="1">
        <v>1.5229999999999999</v>
      </c>
      <c r="O8" s="1">
        <v>1.627</v>
      </c>
      <c r="P8" s="1">
        <v>1.8759999999999999</v>
      </c>
      <c r="Q8" s="1">
        <f>+P22*0.04</f>
        <v>6.2676400000000001</v>
      </c>
      <c r="Y8" s="1">
        <f>0.404-0.791</f>
        <v>-0.38700000000000001</v>
      </c>
      <c r="Z8" s="1">
        <f>0.127-0.36</f>
        <v>-0.23299999999999998</v>
      </c>
      <c r="AA8" s="1">
        <f>0.051-0.258</f>
        <v>-0.20700000000000002</v>
      </c>
      <c r="AB8" s="1">
        <f>2.581-0.031</f>
        <v>2.5499999999999998</v>
      </c>
      <c r="AC8" s="1">
        <f>+SUM(N8:Q8)</f>
        <v>11.29364</v>
      </c>
    </row>
    <row r="9" spans="1:39" x14ac:dyDescent="0.2">
      <c r="A9" s="1" t="s">
        <v>6</v>
      </c>
      <c r="B9" s="1">
        <f t="shared" ref="B9:Q9" si="3">+B7+B8</f>
        <v>4.2620000000000049</v>
      </c>
      <c r="C9" s="1">
        <f t="shared" si="3"/>
        <v>7.4569999999999999</v>
      </c>
      <c r="D9" s="1">
        <f t="shared" si="3"/>
        <v>17.72999999999999</v>
      </c>
      <c r="E9" s="1">
        <f t="shared" si="3"/>
        <v>-5.0929999999999955</v>
      </c>
      <c r="F9" s="1">
        <f t="shared" si="3"/>
        <v>-5.7580000000000098</v>
      </c>
      <c r="G9" s="1">
        <f t="shared" si="3"/>
        <v>4.9790000000000001</v>
      </c>
      <c r="H9" s="1">
        <f t="shared" si="3"/>
        <v>8.5060000000000073</v>
      </c>
      <c r="I9" s="1">
        <f t="shared" si="3"/>
        <v>-4.8790000000000076</v>
      </c>
      <c r="J9" s="1">
        <f t="shared" si="3"/>
        <v>6.7020000000000008</v>
      </c>
      <c r="K9" s="1">
        <f t="shared" si="3"/>
        <v>21.09800000000001</v>
      </c>
      <c r="L9" s="1">
        <f t="shared" si="3"/>
        <v>24.344999999999992</v>
      </c>
      <c r="M9" s="1">
        <f t="shared" si="3"/>
        <v>6.8980000000000112</v>
      </c>
      <c r="N9" s="1">
        <f t="shared" si="3"/>
        <v>30.481999999999992</v>
      </c>
      <c r="O9" s="1">
        <f t="shared" si="3"/>
        <v>31.608000000000008</v>
      </c>
      <c r="P9" s="1">
        <f t="shared" si="3"/>
        <v>22.471000000000014</v>
      </c>
      <c r="Q9" s="1">
        <f t="shared" si="3"/>
        <v>14.135899999999971</v>
      </c>
      <c r="Y9" s="1">
        <f>+Y7+Y8</f>
        <v>30.070000000000007</v>
      </c>
      <c r="Z9" s="1">
        <f>+Z7+Z8</f>
        <v>24.35599999999997</v>
      </c>
      <c r="AA9" s="1">
        <f>+AA7+AA8</f>
        <v>2.8479999999999928</v>
      </c>
      <c r="AB9" s="1">
        <f>+AB7+AB8</f>
        <v>59.043000000000035</v>
      </c>
      <c r="AC9" s="1">
        <f>+AC7+AC8</f>
        <v>98.696899999999957</v>
      </c>
    </row>
    <row r="10" spans="1:39" x14ac:dyDescent="0.2">
      <c r="A10" s="1" t="s">
        <v>7</v>
      </c>
      <c r="B10" s="1">
        <v>0.66700000000000004</v>
      </c>
      <c r="C10" s="1">
        <v>3.3140000000000001</v>
      </c>
      <c r="D10" s="1">
        <v>2.2959999999999998</v>
      </c>
      <c r="E10" s="1">
        <v>4.4569999999999999</v>
      </c>
      <c r="F10" s="1">
        <v>0.62</v>
      </c>
      <c r="G10" s="1">
        <v>0.55500000000000005</v>
      </c>
      <c r="H10" s="1">
        <v>-1.8360000000000001</v>
      </c>
      <c r="I10" s="1">
        <v>2.794</v>
      </c>
      <c r="J10" s="1">
        <v>1.821</v>
      </c>
      <c r="K10" s="1">
        <v>4.2690000000000001</v>
      </c>
      <c r="L10" s="1">
        <v>4.0110000000000001</v>
      </c>
      <c r="M10" s="1">
        <v>1.19</v>
      </c>
      <c r="N10" s="1">
        <v>18.015000000000001</v>
      </c>
      <c r="O10" s="1">
        <v>6.4160000000000004</v>
      </c>
      <c r="P10" s="1">
        <v>6.3620000000000001</v>
      </c>
      <c r="Q10" s="1">
        <f>+Q9*0.2</f>
        <v>2.8271799999999945</v>
      </c>
      <c r="Y10" s="1">
        <v>10.913</v>
      </c>
      <c r="Z10" s="1">
        <v>5.2370000000000001</v>
      </c>
      <c r="AA10" s="1">
        <v>3.0270000000000001</v>
      </c>
      <c r="AB10" s="1">
        <v>11.291</v>
      </c>
      <c r="AC10" s="1">
        <f>+SUM(N10:Q10)</f>
        <v>33.620179999999991</v>
      </c>
    </row>
    <row r="11" spans="1:39" x14ac:dyDescent="0.2">
      <c r="A11" s="1" t="s">
        <v>8</v>
      </c>
      <c r="B11" s="1">
        <f t="shared" ref="B11:Q11" si="4">+B9-B10</f>
        <v>3.5950000000000051</v>
      </c>
      <c r="C11" s="1">
        <f t="shared" si="4"/>
        <v>4.1429999999999998</v>
      </c>
      <c r="D11" s="1">
        <f t="shared" si="4"/>
        <v>15.43399999999999</v>
      </c>
      <c r="E11" s="1">
        <f t="shared" si="4"/>
        <v>-9.5499999999999954</v>
      </c>
      <c r="F11" s="1">
        <f t="shared" si="4"/>
        <v>-6.3780000000000099</v>
      </c>
      <c r="G11" s="1">
        <f t="shared" si="4"/>
        <v>4.4240000000000004</v>
      </c>
      <c r="H11" s="1">
        <f t="shared" si="4"/>
        <v>10.342000000000008</v>
      </c>
      <c r="I11" s="1">
        <f t="shared" si="4"/>
        <v>-7.6730000000000071</v>
      </c>
      <c r="J11" s="1">
        <f t="shared" si="4"/>
        <v>4.8810000000000011</v>
      </c>
      <c r="K11" s="1">
        <f t="shared" si="4"/>
        <v>16.829000000000008</v>
      </c>
      <c r="L11" s="1">
        <f t="shared" si="4"/>
        <v>20.333999999999993</v>
      </c>
      <c r="M11" s="1">
        <f t="shared" si="4"/>
        <v>5.7080000000000108</v>
      </c>
      <c r="N11" s="1">
        <f t="shared" si="4"/>
        <v>12.466999999999992</v>
      </c>
      <c r="O11" s="1">
        <f t="shared" si="4"/>
        <v>25.192000000000007</v>
      </c>
      <c r="P11" s="1">
        <f t="shared" si="4"/>
        <v>16.109000000000016</v>
      </c>
      <c r="Q11" s="1">
        <f t="shared" si="4"/>
        <v>11.308719999999976</v>
      </c>
      <c r="Y11" s="1">
        <f>+Y9-Y10</f>
        <v>19.157000000000007</v>
      </c>
      <c r="Z11" s="1">
        <f>+Z9-Z10</f>
        <v>19.118999999999971</v>
      </c>
      <c r="AA11" s="1">
        <f>+AA9-AA10</f>
        <v>-0.17900000000000738</v>
      </c>
      <c r="AB11" s="1">
        <f>+AB9-AB10</f>
        <v>47.752000000000038</v>
      </c>
      <c r="AC11" s="1">
        <f>+AC9-AC10</f>
        <v>65.076719999999966</v>
      </c>
    </row>
    <row r="12" spans="1:39" s="4" customFormat="1" x14ac:dyDescent="0.2">
      <c r="A12" s="4" t="s">
        <v>9</v>
      </c>
      <c r="B12" s="4">
        <f t="shared" ref="B12:Q12" si="5">+B11/B13</f>
        <v>6.6404138505401236E-2</v>
      </c>
      <c r="C12" s="4">
        <f t="shared" si="5"/>
        <v>7.7696344457319447E-2</v>
      </c>
      <c r="D12" s="4">
        <f t="shared" si="5"/>
        <v>0.28698368875006819</v>
      </c>
      <c r="E12" s="4">
        <f t="shared" si="5"/>
        <v>-0.17200691709156721</v>
      </c>
      <c r="F12" s="4">
        <f t="shared" si="5"/>
        <v>-0.11450548603000774</v>
      </c>
      <c r="G12" s="4">
        <f t="shared" si="5"/>
        <v>7.927683470679614E-2</v>
      </c>
      <c r="H12" s="4">
        <f t="shared" si="5"/>
        <v>0.18278572084028705</v>
      </c>
      <c r="I12" s="4">
        <f t="shared" si="5"/>
        <v>-0.13603395512475097</v>
      </c>
      <c r="J12" s="4">
        <f t="shared" si="5"/>
        <v>8.5106894940062947E-2</v>
      </c>
      <c r="K12" s="4">
        <f t="shared" si="5"/>
        <v>0.28594457446378868</v>
      </c>
      <c r="L12" s="4">
        <f t="shared" si="5"/>
        <v>0.34306389803831855</v>
      </c>
      <c r="M12" s="4">
        <f t="shared" si="5"/>
        <v>9.592837330200453E-2</v>
      </c>
      <c r="N12" s="4">
        <f t="shared" si="5"/>
        <v>0.21221642480230044</v>
      </c>
      <c r="O12" s="4">
        <f t="shared" si="5"/>
        <v>0.42528758781664522</v>
      </c>
      <c r="P12" s="4">
        <f t="shared" si="5"/>
        <v>0.2715848092225881</v>
      </c>
      <c r="Q12" s="4">
        <f t="shared" si="5"/>
        <v>0.19065594163210983</v>
      </c>
      <c r="Y12" s="4">
        <f>+Y11/Y13</f>
        <v>0.32685088462754119</v>
      </c>
      <c r="Z12" s="4">
        <f>+Z11/Z13</f>
        <v>0.35283942912244948</v>
      </c>
      <c r="AA12" s="4">
        <f>+AA11/AA13</f>
        <v>-3.027552708551106E-3</v>
      </c>
      <c r="AB12" s="4">
        <f>+AB11/AB13</f>
        <v>0.80506038922323087</v>
      </c>
      <c r="AC12" s="4">
        <f>+AC11/AC13</f>
        <v>1.0971412617811012</v>
      </c>
    </row>
    <row r="13" spans="1:39" x14ac:dyDescent="0.2">
      <c r="A13" s="1" t="s">
        <v>10</v>
      </c>
      <c r="B13" s="1">
        <v>54.138191999999997</v>
      </c>
      <c r="C13" s="1">
        <v>53.322972</v>
      </c>
      <c r="D13" s="1">
        <v>53.780059999999999</v>
      </c>
      <c r="E13" s="1">
        <v>55.521023</v>
      </c>
      <c r="F13" s="1">
        <v>55.700387999999997</v>
      </c>
      <c r="G13" s="1">
        <v>55.804448000000001</v>
      </c>
      <c r="H13" s="1">
        <v>56.579912</v>
      </c>
      <c r="I13" s="1">
        <v>56.405034999999998</v>
      </c>
      <c r="J13" s="1">
        <v>57.351405</v>
      </c>
      <c r="K13" s="1">
        <v>58.854062999999996</v>
      </c>
      <c r="L13" s="1">
        <v>59.271757000000001</v>
      </c>
      <c r="M13" s="1">
        <v>59.502729000000002</v>
      </c>
      <c r="N13" s="1">
        <v>58.746631000000001</v>
      </c>
      <c r="O13" s="1">
        <v>59.235211</v>
      </c>
      <c r="P13" s="1">
        <v>59.314805</v>
      </c>
      <c r="Q13" s="1">
        <f>+P13</f>
        <v>59.314805</v>
      </c>
      <c r="Y13" s="1">
        <v>58.610824999999998</v>
      </c>
      <c r="Z13" s="1">
        <v>54.186121</v>
      </c>
      <c r="AA13" s="1">
        <v>59.123660999999998</v>
      </c>
      <c r="AB13" s="1">
        <v>59.314805</v>
      </c>
      <c r="AC13" s="1">
        <f>+AB13</f>
        <v>59.314805</v>
      </c>
    </row>
    <row r="15" spans="1:39" s="3" customFormat="1" x14ac:dyDescent="0.2">
      <c r="A15" s="3" t="s">
        <v>11</v>
      </c>
      <c r="B15" s="3">
        <f t="shared" ref="B15:P15" si="6">+B5/B3</f>
        <v>0.31920477137176939</v>
      </c>
      <c r="C15" s="3">
        <f t="shared" si="6"/>
        <v>0.28460858461840682</v>
      </c>
      <c r="D15" s="3">
        <f t="shared" si="6"/>
        <v>0.33285495681643301</v>
      </c>
      <c r="E15" s="3">
        <f t="shared" si="6"/>
        <v>0.24931858080014785</v>
      </c>
      <c r="F15" s="3">
        <f t="shared" si="6"/>
        <v>0.19765054744525537</v>
      </c>
      <c r="G15" s="3">
        <f t="shared" si="6"/>
        <v>0.25401326915571742</v>
      </c>
      <c r="H15" s="3">
        <f t="shared" si="6"/>
        <v>0.26261860806333293</v>
      </c>
      <c r="I15" s="3">
        <f t="shared" si="6"/>
        <v>0.24386081247078512</v>
      </c>
      <c r="J15" s="3">
        <f t="shared" si="6"/>
        <v>0.30668100110241531</v>
      </c>
      <c r="K15" s="3">
        <f t="shared" si="6"/>
        <v>0.36588492248200799</v>
      </c>
      <c r="L15" s="3">
        <f t="shared" si="6"/>
        <v>0.40684754896279984</v>
      </c>
      <c r="M15" s="3">
        <f t="shared" si="6"/>
        <v>0.37499057883629794</v>
      </c>
      <c r="N15" s="3">
        <f t="shared" si="6"/>
        <v>0.51188920123905524</v>
      </c>
      <c r="O15" s="3">
        <f t="shared" si="6"/>
        <v>0.40756751505731498</v>
      </c>
      <c r="P15" s="3">
        <f t="shared" si="6"/>
        <v>0.38795840669345261</v>
      </c>
      <c r="Y15" s="3">
        <f>+Y5/Y3</f>
        <v>0.3375503792122172</v>
      </c>
      <c r="Z15" s="3">
        <f>+Z5/Z3</f>
        <v>0.29813998466455688</v>
      </c>
      <c r="AA15" s="3">
        <f>+AA5/AA3</f>
        <v>0.24161790797756827</v>
      </c>
      <c r="AB15" s="3">
        <f>+AB5/AB3</f>
        <v>0.36613575034642598</v>
      </c>
      <c r="AC15" s="3">
        <v>0.38</v>
      </c>
    </row>
    <row r="16" spans="1:39" s="3" customFormat="1" x14ac:dyDescent="0.2">
      <c r="A16" s="3" t="s">
        <v>12</v>
      </c>
      <c r="B16" s="3">
        <f t="shared" ref="B16:P16" si="7">+B7/B3</f>
        <v>5.7070907886017284E-2</v>
      </c>
      <c r="C16" s="3">
        <f t="shared" si="7"/>
        <v>7.398094489735782E-2</v>
      </c>
      <c r="D16" s="3">
        <f t="shared" si="7"/>
        <v>0.15411216488428178</v>
      </c>
      <c r="E16" s="3">
        <f t="shared" si="7"/>
        <v>-5.8613600665249878E-2</v>
      </c>
      <c r="F16" s="3">
        <f t="shared" si="7"/>
        <v>-5.9493198407432092E-2</v>
      </c>
      <c r="G16" s="3">
        <f t="shared" si="7"/>
        <v>4.364077880404145E-2</v>
      </c>
      <c r="H16" s="3">
        <f t="shared" si="7"/>
        <v>6.9459784107124195E-2</v>
      </c>
      <c r="I16" s="3">
        <f t="shared" si="7"/>
        <v>-5.2776902088247847E-2</v>
      </c>
      <c r="J16" s="3">
        <f t="shared" si="7"/>
        <v>6.1079273681429319E-2</v>
      </c>
      <c r="K16" s="3">
        <f t="shared" si="7"/>
        <v>0.14927136667979526</v>
      </c>
      <c r="L16" s="3">
        <f t="shared" si="7"/>
        <v>0.17037026306640393</v>
      </c>
      <c r="M16" s="3">
        <f t="shared" si="7"/>
        <v>5.1081549593005829E-2</v>
      </c>
      <c r="N16" s="3">
        <f t="shared" si="7"/>
        <v>0.25926158033268271</v>
      </c>
      <c r="O16" s="3">
        <f t="shared" si="7"/>
        <v>0.20803380610064118</v>
      </c>
      <c r="P16" s="3">
        <f t="shared" si="7"/>
        <v>0.15495914405670183</v>
      </c>
      <c r="Y16" s="3">
        <f>+Y7/Y3</f>
        <v>9.8044707124554181E-2</v>
      </c>
      <c r="Z16" s="3">
        <f>+Z7/Z3</f>
        <v>6.4790929427977359E-2</v>
      </c>
      <c r="AA16" s="3">
        <f>+AA7/AA3</f>
        <v>7.1414044840072107E-3</v>
      </c>
      <c r="AB16" s="3">
        <f>+AB7/AB3</f>
        <v>0.11444819007641636</v>
      </c>
    </row>
    <row r="17" spans="1:29" s="3" customFormat="1" x14ac:dyDescent="0.2">
      <c r="A17" s="3" t="s">
        <v>13</v>
      </c>
      <c r="B17" s="3">
        <f t="shared" ref="B17:P17" si="8">+B11/B3</f>
        <v>4.7647448641484492E-2</v>
      </c>
      <c r="C17" s="3">
        <f t="shared" si="8"/>
        <v>4.0693448580689517E-2</v>
      </c>
      <c r="D17" s="3">
        <f t="shared" si="8"/>
        <v>0.13343246678020895</v>
      </c>
      <c r="E17" s="3">
        <f t="shared" si="8"/>
        <v>-0.11029751455234217</v>
      </c>
      <c r="F17" s="3">
        <f t="shared" si="8"/>
        <v>-6.6128898473789097E-2</v>
      </c>
      <c r="G17" s="3">
        <f t="shared" si="8"/>
        <v>3.8367807120246303E-2</v>
      </c>
      <c r="H17" s="3">
        <f t="shared" si="8"/>
        <v>8.3374313746039735E-2</v>
      </c>
      <c r="I17" s="3">
        <f t="shared" si="8"/>
        <v>-8.3410333619593297E-2</v>
      </c>
      <c r="J17" s="3">
        <f t="shared" si="8"/>
        <v>4.4470157344728006E-2</v>
      </c>
      <c r="K17" s="3">
        <f t="shared" si="8"/>
        <v>0.12051272870493041</v>
      </c>
      <c r="L17" s="3">
        <f t="shared" si="8"/>
        <v>0.14727952254027113</v>
      </c>
      <c r="M17" s="3">
        <f t="shared" si="8"/>
        <v>5.3776002411818007E-2</v>
      </c>
      <c r="N17" s="3">
        <f t="shared" si="8"/>
        <v>0.11161345771634221</v>
      </c>
      <c r="O17" s="3">
        <f t="shared" si="8"/>
        <v>0.17480363040883737</v>
      </c>
      <c r="P17" s="3">
        <f t="shared" si="8"/>
        <v>0.12120596511820396</v>
      </c>
      <c r="Y17" s="3">
        <f>+Y11/Y3</f>
        <v>6.1668662520441425E-2</v>
      </c>
      <c r="Z17" s="3">
        <f>+Z11/Z3</f>
        <v>5.0377720921285889E-2</v>
      </c>
      <c r="AA17" s="3">
        <f>+AA11/AA3</f>
        <v>-4.184325376881658E-4</v>
      </c>
      <c r="AB17" s="3">
        <f>+AB11/AB3</f>
        <v>9.6739949596039071E-2</v>
      </c>
    </row>
    <row r="18" spans="1:29" s="3" customFormat="1" x14ac:dyDescent="0.2">
      <c r="A18" s="3" t="s">
        <v>14</v>
      </c>
      <c r="B18" s="3">
        <f t="shared" ref="B18:P18" si="9">+B10/B9</f>
        <v>0.15649929610511479</v>
      </c>
      <c r="C18" s="3">
        <f t="shared" si="9"/>
        <v>0.44441464395869656</v>
      </c>
      <c r="D18" s="3">
        <f t="shared" si="9"/>
        <v>0.12949802594472651</v>
      </c>
      <c r="E18" s="3">
        <f t="shared" si="9"/>
        <v>-0.87512271745533154</v>
      </c>
      <c r="F18" s="3">
        <f t="shared" si="9"/>
        <v>-0.10767627648489041</v>
      </c>
      <c r="G18" s="3">
        <f t="shared" si="9"/>
        <v>0.11146816629845352</v>
      </c>
      <c r="H18" s="3">
        <f t="shared" si="9"/>
        <v>-0.21584763696214418</v>
      </c>
      <c r="I18" s="3">
        <f t="shared" si="9"/>
        <v>-0.5726583316253322</v>
      </c>
      <c r="J18" s="3">
        <f t="shared" si="9"/>
        <v>0.27170993733213961</v>
      </c>
      <c r="K18" s="3">
        <f t="shared" si="9"/>
        <v>0.20234145416627161</v>
      </c>
      <c r="L18" s="3">
        <f t="shared" si="9"/>
        <v>0.16475662353666057</v>
      </c>
      <c r="M18" s="3">
        <f t="shared" si="9"/>
        <v>0.17251377210785707</v>
      </c>
      <c r="N18" s="3">
        <f t="shared" si="9"/>
        <v>0.59100452726199082</v>
      </c>
      <c r="O18" s="3">
        <f t="shared" si="9"/>
        <v>0.20298658567451275</v>
      </c>
      <c r="P18" s="3">
        <f t="shared" si="9"/>
        <v>0.28312046637888816</v>
      </c>
      <c r="Y18" s="3">
        <f>+Y10/Y9</f>
        <v>0.36291985367475882</v>
      </c>
      <c r="Z18" s="3">
        <f>+Z10/Z9</f>
        <v>0.21501888651666967</v>
      </c>
      <c r="AA18" s="3">
        <f>+AA10/AA9</f>
        <v>1.0628511235955083</v>
      </c>
      <c r="AB18" s="3">
        <f>+AB10/AB9</f>
        <v>0.19123350778246354</v>
      </c>
    </row>
    <row r="19" spans="1:29" s="3" customFormat="1" x14ac:dyDescent="0.2"/>
    <row r="20" spans="1:29" s="6" customFormat="1" x14ac:dyDescent="0.2">
      <c r="A20" s="6" t="s">
        <v>15</v>
      </c>
      <c r="F20" s="6">
        <f t="shared" ref="F20:Q20" si="10">+F3/B3-1</f>
        <v>0.27830351225977457</v>
      </c>
      <c r="G20" s="6">
        <f t="shared" si="10"/>
        <v>0.13255082997740897</v>
      </c>
      <c r="H20" s="6">
        <f t="shared" si="10"/>
        <v>7.2396234081733235E-2</v>
      </c>
      <c r="I20" s="6">
        <f t="shared" si="10"/>
        <v>6.2448027349163882E-2</v>
      </c>
      <c r="J20" s="6">
        <f t="shared" si="10"/>
        <v>0.13801219309887203</v>
      </c>
      <c r="K20" s="6">
        <f t="shared" si="10"/>
        <v>0.21109232036772041</v>
      </c>
      <c r="L20" s="6">
        <f t="shared" si="10"/>
        <v>0.11303338358472459</v>
      </c>
      <c r="M20" s="6">
        <f t="shared" si="10"/>
        <v>0.1538520072615801</v>
      </c>
      <c r="N20" s="6">
        <f t="shared" si="10"/>
        <v>1.7665977277489642E-2</v>
      </c>
      <c r="O20" s="6">
        <f t="shared" si="10"/>
        <v>3.2016899996419435E-2</v>
      </c>
      <c r="P20" s="6">
        <f t="shared" si="10"/>
        <v>-3.7359485456020303E-2</v>
      </c>
      <c r="Q20" s="6">
        <f t="shared" si="10"/>
        <v>9.5492915284895785E-2</v>
      </c>
      <c r="Y20" s="6" t="e">
        <f>+Y3/X3-1</f>
        <v>#DIV/0!</v>
      </c>
      <c r="Z20" s="6">
        <f>+Z3/Y3-1</f>
        <v>0.2216975058266053</v>
      </c>
      <c r="AA20" s="6">
        <f>+AA3/Z3-1</f>
        <v>0.1271998587663663</v>
      </c>
      <c r="AB20" s="6">
        <f>+AB3/AA3-1</f>
        <v>0.15387330610794625</v>
      </c>
      <c r="AC20" s="6">
        <f>+AC3/AB3-1</f>
        <v>2.3070751926614452E-2</v>
      </c>
    </row>
    <row r="21" spans="1:29" x14ac:dyDescent="0.2">
      <c r="P21" s="3"/>
    </row>
    <row r="22" spans="1:29" x14ac:dyDescent="0.2">
      <c r="A22" s="1" t="s">
        <v>37</v>
      </c>
      <c r="N22" s="1">
        <f>+N23-N37</f>
        <v>122.95699999999999</v>
      </c>
      <c r="O22" s="1">
        <f>+O23-O37</f>
        <v>150.08500000000001</v>
      </c>
      <c r="P22" s="1">
        <f>+P23-P37</f>
        <v>156.691</v>
      </c>
    </row>
    <row r="23" spans="1:29" x14ac:dyDescent="0.2">
      <c r="A23" s="1" t="s">
        <v>34</v>
      </c>
      <c r="N23" s="1">
        <v>122.97799999999999</v>
      </c>
      <c r="O23" s="1">
        <v>150.10300000000001</v>
      </c>
      <c r="P23" s="1">
        <v>156.70599999999999</v>
      </c>
    </row>
    <row r="24" spans="1:29" x14ac:dyDescent="0.2">
      <c r="A24" s="1" t="s">
        <v>38</v>
      </c>
      <c r="N24" s="1">
        <v>57.881</v>
      </c>
      <c r="O24" s="1">
        <v>78.891000000000005</v>
      </c>
      <c r="P24" s="1">
        <v>78.599999999999994</v>
      </c>
    </row>
    <row r="25" spans="1:29" x14ac:dyDescent="0.2">
      <c r="A25" s="1" t="s">
        <v>39</v>
      </c>
      <c r="N25" s="1">
        <v>56.764000000000003</v>
      </c>
      <c r="O25" s="1">
        <v>45.457000000000001</v>
      </c>
      <c r="P25" s="1">
        <v>64.905000000000001</v>
      </c>
    </row>
    <row r="26" spans="1:29" x14ac:dyDescent="0.2">
      <c r="A26" s="1" t="s">
        <v>40</v>
      </c>
      <c r="N26" s="1">
        <f>1.535+2.619</f>
        <v>4.1539999999999999</v>
      </c>
      <c r="O26" s="1">
        <f>1.381+2.907</f>
        <v>4.2880000000000003</v>
      </c>
      <c r="P26" s="1">
        <f>1.265+2.732</f>
        <v>3.9969999999999999</v>
      </c>
    </row>
    <row r="27" spans="1:29" x14ac:dyDescent="0.2">
      <c r="A27" s="1" t="s">
        <v>41</v>
      </c>
      <c r="N27" s="1">
        <v>1.772</v>
      </c>
      <c r="O27" s="1">
        <v>0.14000000000000001</v>
      </c>
      <c r="P27" s="1">
        <v>1.2989999999999999</v>
      </c>
    </row>
    <row r="28" spans="1:29" x14ac:dyDescent="0.2">
      <c r="A28" s="1" t="s">
        <v>42</v>
      </c>
      <c r="N28" s="1">
        <v>25.771999999999998</v>
      </c>
      <c r="O28" s="1">
        <v>24.651</v>
      </c>
      <c r="P28" s="1">
        <v>27.986000000000001</v>
      </c>
    </row>
    <row r="29" spans="1:29" x14ac:dyDescent="0.2">
      <c r="A29" s="1" t="s">
        <v>43</v>
      </c>
      <c r="N29" s="1">
        <v>2.1949999999999998</v>
      </c>
      <c r="O29" s="1">
        <v>2.2309999999999999</v>
      </c>
      <c r="P29" s="1">
        <v>2.44</v>
      </c>
    </row>
    <row r="30" spans="1:29" x14ac:dyDescent="0.2">
      <c r="A30" s="1" t="s">
        <v>44</v>
      </c>
      <c r="N30" s="1">
        <v>7.7910000000000004</v>
      </c>
      <c r="O30" s="1">
        <v>7.7910000000000004</v>
      </c>
      <c r="P30" s="1">
        <v>7.7910000000000004</v>
      </c>
    </row>
    <row r="31" spans="1:29" x14ac:dyDescent="0.2">
      <c r="A31" s="1" t="s">
        <v>45</v>
      </c>
      <c r="N31" s="1">
        <v>6.7460000000000004</v>
      </c>
      <c r="O31" s="1">
        <v>6.7450000000000001</v>
      </c>
      <c r="P31" s="1">
        <v>6.7560000000000002</v>
      </c>
    </row>
    <row r="32" spans="1:29" x14ac:dyDescent="0.2">
      <c r="A32" s="1" t="s">
        <v>46</v>
      </c>
      <c r="N32" s="1">
        <v>1.151</v>
      </c>
      <c r="O32" s="1">
        <v>0.89700000000000002</v>
      </c>
      <c r="P32" s="1">
        <v>0.64800000000000002</v>
      </c>
    </row>
    <row r="33" spans="1:16" x14ac:dyDescent="0.2">
      <c r="A33" s="1" t="s">
        <v>47</v>
      </c>
      <c r="N33" s="1">
        <v>1.8380000000000001</v>
      </c>
      <c r="O33" s="1">
        <v>1.8420000000000001</v>
      </c>
      <c r="P33" s="1">
        <v>2.0190000000000001</v>
      </c>
    </row>
    <row r="34" spans="1:16" s="5" customFormat="1" x14ac:dyDescent="0.2">
      <c r="A34" s="5" t="s">
        <v>48</v>
      </c>
      <c r="N34" s="5">
        <f>+SUM(N23:N33)</f>
        <v>289.04199999999997</v>
      </c>
      <c r="O34" s="5">
        <f>+SUM(O23:O33)</f>
        <v>323.036</v>
      </c>
      <c r="P34" s="5">
        <f>+SUM(P23:P33)</f>
        <v>353.14700000000005</v>
      </c>
    </row>
    <row r="35" spans="1:16" x14ac:dyDescent="0.2">
      <c r="A35" s="1" t="s">
        <v>49</v>
      </c>
      <c r="N35" s="1">
        <v>18.134</v>
      </c>
      <c r="O35" s="1">
        <v>20.651</v>
      </c>
      <c r="P35" s="1">
        <v>31.253</v>
      </c>
    </row>
    <row r="36" spans="1:16" x14ac:dyDescent="0.2">
      <c r="A36" s="1" t="s">
        <v>54</v>
      </c>
      <c r="N36" s="1">
        <v>59.222999999999999</v>
      </c>
      <c r="O36" s="1">
        <v>64.188000000000002</v>
      </c>
      <c r="P36" s="1">
        <v>64.908000000000001</v>
      </c>
    </row>
    <row r="37" spans="1:16" x14ac:dyDescent="0.2">
      <c r="A37" s="1" t="s">
        <v>35</v>
      </c>
      <c r="N37" s="1">
        <f>0.011+0.01</f>
        <v>2.0999999999999998E-2</v>
      </c>
      <c r="O37" s="1">
        <f>0.01+0.008</f>
        <v>1.8000000000000002E-2</v>
      </c>
      <c r="P37" s="1">
        <f>0.01+0.005</f>
        <v>1.4999999999999999E-2</v>
      </c>
    </row>
    <row r="38" spans="1:16" x14ac:dyDescent="0.2">
      <c r="A38" s="1" t="s">
        <v>50</v>
      </c>
      <c r="N38" s="1">
        <v>1.6339999999999999</v>
      </c>
      <c r="O38" s="1">
        <v>5.9649999999999999</v>
      </c>
      <c r="P38" s="1">
        <v>4.5330000000000004</v>
      </c>
    </row>
    <row r="39" spans="1:16" x14ac:dyDescent="0.2">
      <c r="A39" s="1" t="s">
        <v>47</v>
      </c>
      <c r="N39" s="1">
        <v>0.34</v>
      </c>
      <c r="O39" s="1">
        <v>0.20799999999999999</v>
      </c>
      <c r="P39" s="1">
        <v>0.318</v>
      </c>
    </row>
    <row r="40" spans="1:16" s="5" customFormat="1" x14ac:dyDescent="0.2">
      <c r="A40" s="5" t="s">
        <v>51</v>
      </c>
      <c r="N40" s="5">
        <f>+SUM(N35:N39)</f>
        <v>79.352000000000004</v>
      </c>
      <c r="O40" s="5">
        <f>+SUM(O35:O39)</f>
        <v>91.03</v>
      </c>
      <c r="P40" s="5">
        <f>+SUM(P35:P39)</f>
        <v>101.027</v>
      </c>
    </row>
    <row r="41" spans="1:16" x14ac:dyDescent="0.2">
      <c r="A41" s="1" t="s">
        <v>52</v>
      </c>
      <c r="N41" s="1">
        <v>232.006</v>
      </c>
      <c r="O41" s="1">
        <v>232.006</v>
      </c>
      <c r="P41" s="1">
        <v>252.12</v>
      </c>
    </row>
    <row r="42" spans="1:16" x14ac:dyDescent="0.2">
      <c r="A42" s="1" t="s">
        <v>53</v>
      </c>
      <c r="N42" s="1">
        <f>+N41+N40</f>
        <v>311.358</v>
      </c>
      <c r="O42" s="1">
        <f>+O41+O40</f>
        <v>323.036</v>
      </c>
      <c r="P42" s="1">
        <f>+P41+P40</f>
        <v>353.14699999999999</v>
      </c>
    </row>
    <row r="44" spans="1:16" x14ac:dyDescent="0.2">
      <c r="A44" s="1" t="s">
        <v>55</v>
      </c>
      <c r="J44" s="1">
        <f t="shared" ref="J44:P44" si="11">+J11</f>
        <v>4.8810000000000011</v>
      </c>
      <c r="K44" s="1">
        <f t="shared" si="11"/>
        <v>16.829000000000008</v>
      </c>
      <c r="L44" s="1">
        <f t="shared" si="11"/>
        <v>20.333999999999993</v>
      </c>
      <c r="M44" s="1">
        <f t="shared" si="11"/>
        <v>5.7080000000000108</v>
      </c>
      <c r="N44" s="1">
        <f t="shared" si="11"/>
        <v>12.466999999999992</v>
      </c>
      <c r="O44" s="1">
        <f t="shared" si="11"/>
        <v>25.192000000000007</v>
      </c>
      <c r="P44" s="1">
        <f t="shared" si="11"/>
        <v>16.109000000000016</v>
      </c>
    </row>
    <row r="45" spans="1:16" x14ac:dyDescent="0.2">
      <c r="A45" s="1" t="s">
        <v>56</v>
      </c>
      <c r="J45" s="1">
        <v>6.7050000000000001</v>
      </c>
      <c r="K45" s="1">
        <f>24.692-J45</f>
        <v>17.987000000000002</v>
      </c>
      <c r="L45" s="1">
        <f>39.856-SUM(J45:K45)</f>
        <v>15.164000000000001</v>
      </c>
      <c r="M45" s="1">
        <f>46.629-SUM(J45:L45)</f>
        <v>6.7729999999999961</v>
      </c>
      <c r="N45" s="1">
        <v>14.238</v>
      </c>
      <c r="O45" s="1">
        <f>33.331-N45</f>
        <v>19.093000000000004</v>
      </c>
      <c r="P45" s="1">
        <f>52.582-SUM(N45:O45)</f>
        <v>19.250999999999998</v>
      </c>
    </row>
    <row r="46" spans="1:16" x14ac:dyDescent="0.2">
      <c r="A46" s="1" t="s">
        <v>57</v>
      </c>
      <c r="J46" s="1">
        <v>0.46500000000000002</v>
      </c>
      <c r="K46" s="1">
        <f>0.34-J46</f>
        <v>-0.125</v>
      </c>
      <c r="L46" s="1">
        <f>0.503-SUM(J46:K46)</f>
        <v>0.16299999999999998</v>
      </c>
      <c r="M46" s="1">
        <f>0.66-SUM(J46:L46)</f>
        <v>0.15700000000000003</v>
      </c>
      <c r="N46" s="1">
        <v>0.16200000000000001</v>
      </c>
      <c r="O46" s="1">
        <f>0.344-N46</f>
        <v>0.18199999999999997</v>
      </c>
      <c r="P46" s="1">
        <f>0.54-SUM(N46:O46)</f>
        <v>0.19600000000000006</v>
      </c>
    </row>
    <row r="47" spans="1:16" x14ac:dyDescent="0.2">
      <c r="A47" s="1" t="s">
        <v>58</v>
      </c>
      <c r="J47" s="1">
        <v>-1E-3</v>
      </c>
      <c r="K47" s="1">
        <f>-0.001-J47</f>
        <v>0</v>
      </c>
      <c r="L47" s="1">
        <f>0.019-SUM(J47:K47)</f>
        <v>0.02</v>
      </c>
      <c r="M47" s="1">
        <f>0.019-SUM(J47:L47)</f>
        <v>0</v>
      </c>
      <c r="N47" s="1">
        <v>1.2999999999999999E-2</v>
      </c>
      <c r="O47" s="1">
        <f>0.013-N47</f>
        <v>0</v>
      </c>
      <c r="P47" s="1">
        <f>0.013-SUM(N47:O47)</f>
        <v>0</v>
      </c>
    </row>
    <row r="48" spans="1:16" x14ac:dyDescent="0.2">
      <c r="A48" s="1" t="s">
        <v>59</v>
      </c>
      <c r="J48" s="1">
        <v>0.83199999999999996</v>
      </c>
      <c r="K48" s="1">
        <f>0.177-J48</f>
        <v>-0.65500000000000003</v>
      </c>
      <c r="L48" s="1">
        <f>0.255-SUM(J48:K48)</f>
        <v>7.8000000000000069E-2</v>
      </c>
      <c r="M48" s="1">
        <f>0.26-SUM(J48:L48)</f>
        <v>5.0000000000000044E-3</v>
      </c>
      <c r="N48" s="1">
        <v>0.51700000000000002</v>
      </c>
      <c r="O48" s="1">
        <f>-0.204-N48</f>
        <v>-0.72099999999999997</v>
      </c>
      <c r="P48" s="1">
        <f>-0.665-SUM(N48:O48)</f>
        <v>-0.46100000000000008</v>
      </c>
    </row>
    <row r="49" spans="1:16" x14ac:dyDescent="0.2">
      <c r="A49" s="1" t="s">
        <v>50</v>
      </c>
      <c r="J49" s="1">
        <v>-1.2130000000000001</v>
      </c>
      <c r="K49" s="1">
        <f>-2.201-J49</f>
        <v>-0.98799999999999999</v>
      </c>
      <c r="L49" s="1">
        <f>1.758-SUM(J49:K49)</f>
        <v>3.9590000000000001</v>
      </c>
      <c r="M49" s="1">
        <f>0.872-SUM(J49:L49)</f>
        <v>-0.88600000000000001</v>
      </c>
      <c r="N49" s="1">
        <v>2.5249999999999999</v>
      </c>
      <c r="O49" s="1">
        <f>8.488-N49</f>
        <v>5.9629999999999992</v>
      </c>
      <c r="P49" s="1">
        <f>5.896-SUM(N49:O49)</f>
        <v>-2.5919999999999996</v>
      </c>
    </row>
    <row r="50" spans="1:16" x14ac:dyDescent="0.2">
      <c r="A50" s="1" t="s">
        <v>60</v>
      </c>
      <c r="J50" s="1">
        <v>2.1619999999999999</v>
      </c>
      <c r="K50" s="1">
        <f>4.264-J50</f>
        <v>2.1020000000000003</v>
      </c>
      <c r="L50" s="1">
        <f>7.126-SUM(J50:K50)</f>
        <v>2.8620000000000001</v>
      </c>
      <c r="M50" s="1">
        <f>9.128-SUM(J50:L50)</f>
        <v>2.0019999999999998</v>
      </c>
      <c r="N50" s="1">
        <v>2.109</v>
      </c>
      <c r="O50" s="1">
        <f>4.508-N50</f>
        <v>2.399</v>
      </c>
      <c r="P50" s="1">
        <f>6.649-SUM(N50:O50)</f>
        <v>2.141</v>
      </c>
    </row>
    <row r="51" spans="1:16" x14ac:dyDescent="0.2">
      <c r="A51" s="1" t="s">
        <v>61</v>
      </c>
      <c r="J51" s="1">
        <v>0</v>
      </c>
      <c r="K51" s="1">
        <v>0</v>
      </c>
      <c r="L51" s="1">
        <v>0.36299999999999999</v>
      </c>
      <c r="M51" s="1">
        <f>0.363-SUM(J51:L51)</f>
        <v>0</v>
      </c>
      <c r="N51" s="1">
        <v>0</v>
      </c>
      <c r="O51" s="1">
        <v>0</v>
      </c>
      <c r="P51" s="1">
        <v>0</v>
      </c>
    </row>
    <row r="52" spans="1:16" x14ac:dyDescent="0.2">
      <c r="A52" s="1" t="s">
        <v>45</v>
      </c>
      <c r="J52" s="1">
        <v>0</v>
      </c>
      <c r="K52" s="1">
        <v>0</v>
      </c>
      <c r="L52" s="1">
        <v>0</v>
      </c>
      <c r="M52" s="1">
        <f>-2.382-SUM(J52:L52)</f>
        <v>-2.3820000000000001</v>
      </c>
      <c r="N52" s="1">
        <v>0</v>
      </c>
      <c r="O52" s="1">
        <v>0</v>
      </c>
      <c r="P52" s="1">
        <v>0</v>
      </c>
    </row>
    <row r="53" spans="1:16" x14ac:dyDescent="0.2">
      <c r="A53" s="1" t="s">
        <v>62</v>
      </c>
      <c r="J53" s="1">
        <v>0.27900000000000003</v>
      </c>
      <c r="K53" s="1">
        <f>0.561-J53</f>
        <v>0.28200000000000003</v>
      </c>
      <c r="L53" s="1">
        <f>0.966-SUM(J53:K53)</f>
        <v>0.40499999999999992</v>
      </c>
      <c r="M53" s="1">
        <f>1.288-SUM(J53:L53)</f>
        <v>0.32200000000000006</v>
      </c>
      <c r="N53" s="1">
        <v>0.254</v>
      </c>
      <c r="O53" s="1">
        <f>0.508-N53</f>
        <v>0.254</v>
      </c>
      <c r="P53" s="1">
        <f>0.764-SUM(N53:O53)</f>
        <v>0.25600000000000001</v>
      </c>
    </row>
    <row r="54" spans="1:16" x14ac:dyDescent="0.2">
      <c r="A54" s="1" t="s">
        <v>38</v>
      </c>
      <c r="J54" s="1">
        <v>-21.337</v>
      </c>
      <c r="K54" s="1">
        <f>-46.605-J54</f>
        <v>-25.267999999999997</v>
      </c>
      <c r="L54" s="1">
        <f>-37.234-SUM(J54:K54)</f>
        <v>9.3709999999999951</v>
      </c>
      <c r="M54" s="1">
        <f>-7.088-SUM(J54:L54)</f>
        <v>30.146000000000001</v>
      </c>
      <c r="N54" s="1">
        <v>-8.4629999999999992</v>
      </c>
      <c r="O54" s="1">
        <f>-28.761-N54</f>
        <v>-20.298000000000002</v>
      </c>
      <c r="P54" s="1">
        <f>-26.91-SUM(N54:O54)</f>
        <v>1.8510000000000026</v>
      </c>
    </row>
    <row r="55" spans="1:16" x14ac:dyDescent="0.2">
      <c r="A55" s="1" t="s">
        <v>63</v>
      </c>
      <c r="J55" s="1">
        <v>20.088999999999999</v>
      </c>
      <c r="K55" s="1">
        <f>27.253-J55</f>
        <v>7.1640000000000015</v>
      </c>
      <c r="L55" s="1">
        <f>33.815-SUM(J55:K55)</f>
        <v>6.5619999999999976</v>
      </c>
      <c r="M55" s="1">
        <f>33.688-SUM(J55:L55)</f>
        <v>-0.12699999999999534</v>
      </c>
      <c r="N55" s="1">
        <v>-6.0679999999999996</v>
      </c>
      <c r="O55" s="1">
        <f>5.254-N55</f>
        <v>11.321999999999999</v>
      </c>
      <c r="P55" s="1">
        <f>-13.974-SUM(N55:O55)</f>
        <v>-19.228000000000002</v>
      </c>
    </row>
    <row r="56" spans="1:16" x14ac:dyDescent="0.2">
      <c r="A56" s="1" t="s">
        <v>42</v>
      </c>
      <c r="J56" s="1">
        <v>0.68300000000000005</v>
      </c>
      <c r="K56" s="1">
        <f>2.769-J56</f>
        <v>2.0860000000000003</v>
      </c>
      <c r="L56" s="1">
        <f>5.215-SUM(J56:K56)</f>
        <v>2.4459999999999997</v>
      </c>
      <c r="M56" s="1">
        <f>-0.622-SUM(J56:L56)</f>
        <v>-5.8369999999999997</v>
      </c>
      <c r="N56" s="1">
        <v>-1.4419999999999999</v>
      </c>
      <c r="O56" s="1">
        <f>-0.204-N56</f>
        <v>1.238</v>
      </c>
      <c r="P56" s="1">
        <f>-2.585-SUM(N56:O56)</f>
        <v>-2.3810000000000002</v>
      </c>
    </row>
    <row r="57" spans="1:16" x14ac:dyDescent="0.2">
      <c r="A57" s="1" t="s">
        <v>49</v>
      </c>
      <c r="J57" s="1">
        <v>1.0720000000000001</v>
      </c>
      <c r="K57" s="1">
        <f>14.822-J57</f>
        <v>13.75</v>
      </c>
      <c r="L57" s="1">
        <f>17.361-SUM(J57:K57)</f>
        <v>2.5390000000000015</v>
      </c>
      <c r="M57" s="1">
        <f>24.34-SUM(J57:L57)</f>
        <v>6.9789999999999992</v>
      </c>
      <c r="N57" s="1">
        <v>-4.1120000000000001</v>
      </c>
      <c r="O57" s="1">
        <f>3.375-N57</f>
        <v>7.4870000000000001</v>
      </c>
      <c r="P57" s="1">
        <f>13.667-SUM(N57:O57)</f>
        <v>10.292</v>
      </c>
    </row>
    <row r="58" spans="1:16" x14ac:dyDescent="0.2">
      <c r="A58" s="1" t="s">
        <v>65</v>
      </c>
      <c r="J58" s="1">
        <f t="shared" ref="J58:P58" si="12">+SUM(J54:J57)</f>
        <v>0.50699999999999901</v>
      </c>
      <c r="K58" s="1">
        <f t="shared" si="12"/>
        <v>-2.2679999999999936</v>
      </c>
      <c r="L58" s="1">
        <f t="shared" si="12"/>
        <v>20.917999999999992</v>
      </c>
      <c r="M58" s="1">
        <f t="shared" si="12"/>
        <v>31.161000000000005</v>
      </c>
      <c r="N58" s="1">
        <f t="shared" si="12"/>
        <v>-20.085000000000001</v>
      </c>
      <c r="O58" s="1">
        <f t="shared" si="12"/>
        <v>-0.251000000000003</v>
      </c>
      <c r="P58" s="1">
        <f t="shared" si="12"/>
        <v>-9.4659999999999993</v>
      </c>
    </row>
    <row r="59" spans="1:16" s="5" customFormat="1" x14ac:dyDescent="0.2">
      <c r="A59" s="5" t="s">
        <v>64</v>
      </c>
      <c r="J59" s="5">
        <f t="shared" ref="J59:P59" si="13">+SUM(J45:J53)+J58</f>
        <v>9.7359999999999989</v>
      </c>
      <c r="K59" s="5">
        <f t="shared" si="13"/>
        <v>16.335000000000008</v>
      </c>
      <c r="L59" s="5">
        <f t="shared" si="13"/>
        <v>43.931999999999995</v>
      </c>
      <c r="M59" s="5">
        <f t="shared" si="13"/>
        <v>37.152000000000001</v>
      </c>
      <c r="N59" s="5">
        <f t="shared" si="13"/>
        <v>-0.26699999999999946</v>
      </c>
      <c r="O59" s="5">
        <f t="shared" si="13"/>
        <v>26.919000000000004</v>
      </c>
      <c r="P59" s="5">
        <f t="shared" si="13"/>
        <v>9.3250000000000046</v>
      </c>
    </row>
    <row r="60" spans="1:16" x14ac:dyDescent="0.2">
      <c r="L60" s="8"/>
      <c r="M60" s="4"/>
    </row>
    <row r="61" spans="1:16" x14ac:dyDescent="0.2">
      <c r="A61" s="1" t="s">
        <v>66</v>
      </c>
      <c r="J61" s="1">
        <f>-0.454+0.005</f>
        <v>-0.44900000000000001</v>
      </c>
      <c r="K61" s="1">
        <f>-0.487+0.005-J61</f>
        <v>-3.2999999999999974E-2</v>
      </c>
      <c r="L61" s="1">
        <f>-0.533+0.005-SUM(J61:K61)</f>
        <v>-4.6000000000000041E-2</v>
      </c>
      <c r="M61" s="1">
        <f>-0.599-SUM(J61:L61)</f>
        <v>-7.0999999999999952E-2</v>
      </c>
      <c r="N61" s="1">
        <v>-0.124</v>
      </c>
      <c r="O61" s="1">
        <f>-0.414-N61</f>
        <v>-0.28999999999999998</v>
      </c>
      <c r="P61" s="1">
        <f>-0.849-SUM(N61:O61)</f>
        <v>-0.435</v>
      </c>
    </row>
    <row r="62" spans="1:16" x14ac:dyDescent="0.2">
      <c r="A62" s="1" t="s">
        <v>67</v>
      </c>
      <c r="J62" s="1">
        <f t="shared" ref="J62:P62" si="14">+J61</f>
        <v>-0.44900000000000001</v>
      </c>
      <c r="K62" s="1">
        <f t="shared" si="14"/>
        <v>-3.2999999999999974E-2</v>
      </c>
      <c r="L62" s="1">
        <f t="shared" si="14"/>
        <v>-4.6000000000000041E-2</v>
      </c>
      <c r="M62" s="1">
        <f t="shared" si="14"/>
        <v>-7.0999999999999952E-2</v>
      </c>
      <c r="N62" s="1">
        <f t="shared" si="14"/>
        <v>-0.124</v>
      </c>
      <c r="O62" s="1">
        <f t="shared" si="14"/>
        <v>-0.28999999999999998</v>
      </c>
      <c r="P62" s="1">
        <f t="shared" si="14"/>
        <v>-0.435</v>
      </c>
    </row>
    <row r="64" spans="1:16" x14ac:dyDescent="0.2">
      <c r="A64" s="1" t="s">
        <v>68</v>
      </c>
      <c r="J64" s="1">
        <v>0.60299999999999998</v>
      </c>
      <c r="K64" s="1">
        <f>2.717-J64</f>
        <v>2.1139999999999999</v>
      </c>
      <c r="L64" s="1">
        <f>5.915-SUM(J64:K64)</f>
        <v>3.1980000000000004</v>
      </c>
      <c r="M64" s="1">
        <f>7.086-SUM(J64:L64)</f>
        <v>1.1710000000000003</v>
      </c>
      <c r="N64" s="1">
        <v>0.153</v>
      </c>
      <c r="O64" s="1">
        <f>0.681-N64</f>
        <v>0.52800000000000002</v>
      </c>
      <c r="P64" s="1">
        <f>1.676-SUM(N64:O64)</f>
        <v>0.99499999999999988</v>
      </c>
    </row>
    <row r="65" spans="1:16" x14ac:dyDescent="0.2">
      <c r="A65" s="1" t="s">
        <v>35</v>
      </c>
      <c r="J65" s="1">
        <v>-6.0000000000000001E-3</v>
      </c>
      <c r="K65" s="1">
        <f>-0.012-J65</f>
        <v>-6.0000000000000001E-3</v>
      </c>
      <c r="L65" s="1">
        <f>-0.018-SUM(J65:K65)</f>
        <v>-5.9999999999999984E-3</v>
      </c>
      <c r="M65" s="1">
        <f>0-SUM(J65:L65)</f>
        <v>1.7999999999999999E-2</v>
      </c>
      <c r="N65" s="1">
        <v>-4.0000000000000001E-3</v>
      </c>
      <c r="O65" s="1">
        <f>-0.008-N65</f>
        <v>-4.0000000000000001E-3</v>
      </c>
      <c r="P65" s="1">
        <f>-0.01-SUM(N65:O65)</f>
        <v>-2E-3</v>
      </c>
    </row>
    <row r="66" spans="1:16" x14ac:dyDescent="0.2">
      <c r="A66" s="1" t="s">
        <v>69</v>
      </c>
      <c r="J66" s="1">
        <v>0</v>
      </c>
      <c r="K66" s="1">
        <f>0-J66</f>
        <v>0</v>
      </c>
      <c r="L66" s="1">
        <f>0-SUM(J66:K66)</f>
        <v>0</v>
      </c>
      <c r="M66" s="1">
        <f>0-SUM(J66:L66)</f>
        <v>0</v>
      </c>
      <c r="N66" s="1">
        <v>-9.2349999999999994</v>
      </c>
      <c r="O66" s="1">
        <f>-9.235-N66</f>
        <v>0</v>
      </c>
      <c r="P66" s="1">
        <f>-12.03-SUM(N66:O66)</f>
        <v>-2.7949999999999999</v>
      </c>
    </row>
    <row r="67" spans="1:16" x14ac:dyDescent="0.2">
      <c r="A67" s="1" t="s">
        <v>70</v>
      </c>
      <c r="J67" s="1">
        <f t="shared" ref="J67:P67" si="15">+SUM(J64:J66)</f>
        <v>0.59699999999999998</v>
      </c>
      <c r="K67" s="1">
        <f t="shared" si="15"/>
        <v>2.1080000000000001</v>
      </c>
      <c r="L67" s="1">
        <f t="shared" si="15"/>
        <v>3.1920000000000006</v>
      </c>
      <c r="M67" s="1">
        <f t="shared" si="15"/>
        <v>1.1890000000000003</v>
      </c>
      <c r="N67" s="1">
        <f t="shared" si="15"/>
        <v>-9.0860000000000003</v>
      </c>
      <c r="O67" s="1">
        <f t="shared" si="15"/>
        <v>0.52400000000000002</v>
      </c>
      <c r="P67" s="1">
        <f t="shared" si="15"/>
        <v>-1.802</v>
      </c>
    </row>
    <row r="69" spans="1:16" x14ac:dyDescent="0.2">
      <c r="A69" s="1" t="s">
        <v>71</v>
      </c>
      <c r="J69" s="1">
        <v>0.187</v>
      </c>
      <c r="K69" s="1">
        <f>0.371-J69</f>
        <v>0.184</v>
      </c>
      <c r="L69" s="1">
        <f>0.212-SUM(J69:K69)</f>
        <v>-0.159</v>
      </c>
      <c r="M69" s="1">
        <f>0.387-SUM(J69:L69)</f>
        <v>0.17500000000000002</v>
      </c>
      <c r="N69" s="1">
        <v>-0.08</v>
      </c>
      <c r="O69" s="1">
        <f>-0.106-N69</f>
        <v>-2.5999999999999995E-2</v>
      </c>
      <c r="P69" s="1">
        <f>0.333-SUM(N69:O69)</f>
        <v>0.439</v>
      </c>
    </row>
    <row r="70" spans="1:16" x14ac:dyDescent="0.2">
      <c r="A70" s="1" t="s">
        <v>72</v>
      </c>
      <c r="J70" s="1">
        <f t="shared" ref="J70:P70" si="16">+J59+J62+J67+J69</f>
        <v>10.070999999999998</v>
      </c>
      <c r="K70" s="1">
        <f t="shared" si="16"/>
        <v>18.594000000000008</v>
      </c>
      <c r="L70" s="1">
        <f t="shared" si="16"/>
        <v>46.918999999999997</v>
      </c>
      <c r="M70" s="1">
        <f t="shared" si="16"/>
        <v>38.445</v>
      </c>
      <c r="N70" s="1">
        <f t="shared" si="16"/>
        <v>-9.5570000000000004</v>
      </c>
      <c r="O70" s="1">
        <f t="shared" si="16"/>
        <v>27.127000000000006</v>
      </c>
      <c r="P70" s="1">
        <f t="shared" si="16"/>
        <v>7.5270000000000046</v>
      </c>
    </row>
    <row r="72" spans="1:16" x14ac:dyDescent="0.2">
      <c r="A72" s="1" t="s">
        <v>73</v>
      </c>
      <c r="J72" s="1">
        <f t="shared" ref="J72:P72" si="17">+J59+J61</f>
        <v>9.286999999999999</v>
      </c>
      <c r="K72" s="1">
        <f t="shared" si="17"/>
        <v>16.302000000000007</v>
      </c>
      <c r="L72" s="1">
        <f t="shared" si="17"/>
        <v>43.885999999999996</v>
      </c>
      <c r="M72" s="1">
        <f t="shared" si="17"/>
        <v>37.081000000000003</v>
      </c>
      <c r="N72" s="1">
        <f t="shared" si="17"/>
        <v>-0.39099999999999946</v>
      </c>
      <c r="O72" s="1">
        <f t="shared" si="17"/>
        <v>26.629000000000005</v>
      </c>
      <c r="P72" s="1">
        <f t="shared" si="17"/>
        <v>8.8900000000000041</v>
      </c>
    </row>
    <row r="73" spans="1:16" x14ac:dyDescent="0.2">
      <c r="A73" s="1" t="s">
        <v>74</v>
      </c>
      <c r="M73" s="1">
        <f>+SUM(J72:M72)</f>
        <v>106.556</v>
      </c>
      <c r="N73" s="1">
        <f>+SUM(K72:N72)</f>
        <v>96.878</v>
      </c>
      <c r="O73" s="1">
        <f>+SUM(L72:O72)</f>
        <v>107.205</v>
      </c>
      <c r="P73" s="1">
        <f>+SUM(M72:P72)</f>
        <v>72.209000000000017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2025-01-27T15:06:00Z</dcterms:created>
  <dcterms:modified xsi:type="dcterms:W3CDTF">2025-01-27T20:57:34Z</dcterms:modified>
</cp:coreProperties>
</file>