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Internet\"/>
    </mc:Choice>
  </mc:AlternateContent>
  <xr:revisionPtr revIDLastSave="0" documentId="13_ncr:1_{9AC0AC40-DFE7-4013-ACFB-F98F0CCA7052}" xr6:coauthVersionLast="47" xr6:coauthVersionMax="47" xr10:uidLastSave="{00000000-0000-0000-0000-000000000000}"/>
  <bookViews>
    <workbookView xWindow="-120" yWindow="-120" windowWidth="29040" windowHeight="15840" xr2:uid="{9302A5D6-3576-4560-80F8-EEFB4344869C}"/>
  </bookViews>
  <sheets>
    <sheet name="Main" sheetId="2" r:id="rId1"/>
    <sheet name="Model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" l="1"/>
  <c r="S59" i="1"/>
  <c r="M59" i="1"/>
  <c r="P59" i="1"/>
  <c r="M58" i="1"/>
  <c r="M57" i="1"/>
  <c r="M54" i="1"/>
  <c r="M49" i="1"/>
  <c r="M48" i="1"/>
  <c r="M24" i="1"/>
  <c r="M53" i="1"/>
  <c r="L112" i="1"/>
  <c r="L111" i="1"/>
  <c r="I117" i="1"/>
  <c r="I119" i="1" s="1"/>
  <c r="L120" i="1" s="1"/>
  <c r="I116" i="1"/>
  <c r="H117" i="1"/>
  <c r="H116" i="1"/>
  <c r="G117" i="1"/>
  <c r="G116" i="1"/>
  <c r="G119" i="1"/>
  <c r="F119" i="1"/>
  <c r="L116" i="1"/>
  <c r="L117" i="1"/>
  <c r="K117" i="1"/>
  <c r="K119" i="1" s="1"/>
  <c r="K116" i="1"/>
  <c r="J119" i="1"/>
  <c r="M5" i="2"/>
  <c r="D44" i="2" s="1"/>
  <c r="M4" i="2"/>
  <c r="M8" i="2"/>
  <c r="D33" i="2"/>
  <c r="D35" i="2" s="1"/>
  <c r="D38" i="2"/>
  <c r="D43" i="2" s="1"/>
  <c r="L103" i="1"/>
  <c r="L107" i="1" s="1"/>
  <c r="L109" i="1" s="1"/>
  <c r="L82" i="1"/>
  <c r="L113" i="1" s="1"/>
  <c r="L114" i="1" s="1"/>
  <c r="H78" i="1"/>
  <c r="I78" i="1"/>
  <c r="I77" i="1" s="1"/>
  <c r="J78" i="1"/>
  <c r="J77" i="1" s="1"/>
  <c r="K78" i="1"/>
  <c r="K77" i="1" s="1"/>
  <c r="L78" i="1"/>
  <c r="K103" i="1"/>
  <c r="K107" i="1" s="1"/>
  <c r="K109" i="1" s="1"/>
  <c r="K82" i="1"/>
  <c r="R46" i="1"/>
  <c r="L73" i="1"/>
  <c r="L74" i="1"/>
  <c r="L72" i="1"/>
  <c r="L71" i="1"/>
  <c r="C65" i="1"/>
  <c r="B65" i="1"/>
  <c r="C64" i="1"/>
  <c r="B64" i="1"/>
  <c r="C63" i="1"/>
  <c r="B63" i="1"/>
  <c r="K39" i="1"/>
  <c r="K65" i="1" s="1"/>
  <c r="J39" i="1"/>
  <c r="I39" i="1"/>
  <c r="G39" i="1"/>
  <c r="G65" i="1" s="1"/>
  <c r="F39" i="1"/>
  <c r="F65" i="1" s="1"/>
  <c r="E39" i="1"/>
  <c r="D39" i="1"/>
  <c r="D65" i="1" s="1"/>
  <c r="L39" i="1"/>
  <c r="L65" i="1" s="1"/>
  <c r="H75" i="1"/>
  <c r="G75" i="1"/>
  <c r="D75" i="1"/>
  <c r="C75" i="1"/>
  <c r="L75" i="1"/>
  <c r="D53" i="1"/>
  <c r="L53" i="1"/>
  <c r="L54" i="1" s="1"/>
  <c r="K53" i="1"/>
  <c r="K54" i="1" s="1"/>
  <c r="J53" i="1"/>
  <c r="H53" i="1"/>
  <c r="G53" i="1"/>
  <c r="F53" i="1"/>
  <c r="C53" i="1"/>
  <c r="B53" i="1"/>
  <c r="B54" i="1" s="1"/>
  <c r="R53" i="1"/>
  <c r="Q53" i="1"/>
  <c r="P53" i="1"/>
  <c r="L15" i="1"/>
  <c r="L35" i="1"/>
  <c r="L64" i="1" s="1"/>
  <c r="K35" i="1"/>
  <c r="K64" i="1" s="1"/>
  <c r="L24" i="1"/>
  <c r="L63" i="1" s="1"/>
  <c r="K24" i="1"/>
  <c r="K63" i="1" s="1"/>
  <c r="K15" i="1"/>
  <c r="K74" i="1"/>
  <c r="K73" i="1"/>
  <c r="K72" i="1"/>
  <c r="K71" i="1"/>
  <c r="J72" i="1"/>
  <c r="J74" i="1"/>
  <c r="J73" i="1"/>
  <c r="I103" i="1"/>
  <c r="I107" i="1" s="1"/>
  <c r="H103" i="1"/>
  <c r="H107" i="1" s="1"/>
  <c r="G103" i="1"/>
  <c r="G107" i="1" s="1"/>
  <c r="F103" i="1"/>
  <c r="F107" i="1" s="1"/>
  <c r="E103" i="1"/>
  <c r="E107" i="1" s="1"/>
  <c r="D103" i="1"/>
  <c r="D107" i="1" s="1"/>
  <c r="C103" i="1"/>
  <c r="C107" i="1" s="1"/>
  <c r="B103" i="1"/>
  <c r="B107" i="1" s="1"/>
  <c r="J103" i="1"/>
  <c r="J107" i="1" s="1"/>
  <c r="H77" i="1"/>
  <c r="G78" i="1"/>
  <c r="G77" i="1" s="1"/>
  <c r="F78" i="1"/>
  <c r="F77" i="1" s="1"/>
  <c r="E78" i="1"/>
  <c r="E77" i="1" s="1"/>
  <c r="D78" i="1"/>
  <c r="D77" i="1" s="1"/>
  <c r="C78" i="1"/>
  <c r="C77" i="1" s="1"/>
  <c r="B78" i="1"/>
  <c r="B77" i="1" s="1"/>
  <c r="J82" i="1"/>
  <c r="J15" i="1"/>
  <c r="J35" i="1"/>
  <c r="J24" i="1"/>
  <c r="H24" i="1"/>
  <c r="H63" i="1" s="1"/>
  <c r="G24" i="1"/>
  <c r="G63" i="1" s="1"/>
  <c r="F24" i="1"/>
  <c r="F63" i="1" s="1"/>
  <c r="E24" i="1"/>
  <c r="D24" i="1"/>
  <c r="D63" i="1" s="1"/>
  <c r="I24" i="1"/>
  <c r="H119" i="1" l="1"/>
  <c r="K120" i="1"/>
  <c r="L119" i="1"/>
  <c r="J120" i="1"/>
  <c r="L87" i="1"/>
  <c r="L94" i="1" s="1"/>
  <c r="M7" i="2"/>
  <c r="L77" i="1"/>
  <c r="D45" i="2"/>
  <c r="K87" i="1"/>
  <c r="K94" i="1" s="1"/>
  <c r="L67" i="1"/>
  <c r="L57" i="1"/>
  <c r="K57" i="1"/>
  <c r="K67" i="1"/>
  <c r="J87" i="1"/>
  <c r="J94" i="1" s="1"/>
  <c r="J108" i="1" s="1"/>
  <c r="J109" i="1" s="1"/>
  <c r="J48" i="1"/>
  <c r="J63" i="1" s="1"/>
  <c r="H15" i="1"/>
  <c r="G15" i="1"/>
  <c r="F15" i="1"/>
  <c r="E15" i="1"/>
  <c r="I15" i="1"/>
  <c r="I35" i="1"/>
  <c r="G35" i="1"/>
  <c r="G64" i="1" s="1"/>
  <c r="F35" i="1"/>
  <c r="F64" i="1" s="1"/>
  <c r="E35" i="1"/>
  <c r="D35" i="1"/>
  <c r="D64" i="1" s="1"/>
  <c r="H35" i="1"/>
  <c r="H64" i="1" s="1"/>
  <c r="Q11" i="1"/>
  <c r="R11" i="1"/>
  <c r="Q46" i="1"/>
  <c r="P46" i="1"/>
  <c r="Q39" i="1"/>
  <c r="P39" i="1"/>
  <c r="R39" i="1"/>
  <c r="Q35" i="1"/>
  <c r="P35" i="1"/>
  <c r="R35" i="1"/>
  <c r="Q24" i="1"/>
  <c r="P24" i="1"/>
  <c r="R24" i="1"/>
  <c r="Q15" i="1"/>
  <c r="P15" i="1"/>
  <c r="R15" i="1"/>
  <c r="I92" i="1"/>
  <c r="I87" i="1"/>
  <c r="H92" i="1"/>
  <c r="H87" i="1"/>
  <c r="G92" i="1"/>
  <c r="G87" i="1"/>
  <c r="F92" i="1"/>
  <c r="F87" i="1"/>
  <c r="E92" i="1"/>
  <c r="E87" i="1"/>
  <c r="D92" i="1"/>
  <c r="D87" i="1"/>
  <c r="C92" i="1"/>
  <c r="C87" i="1"/>
  <c r="B92" i="1"/>
  <c r="B87" i="1"/>
  <c r="Q74" i="1"/>
  <c r="Q73" i="1"/>
  <c r="Q72" i="1"/>
  <c r="R74" i="1"/>
  <c r="R73" i="1"/>
  <c r="R72" i="1"/>
  <c r="H74" i="1"/>
  <c r="G74" i="1"/>
  <c r="F74" i="1"/>
  <c r="H73" i="1"/>
  <c r="G73" i="1"/>
  <c r="F73" i="1"/>
  <c r="H72" i="1"/>
  <c r="G72" i="1"/>
  <c r="F72" i="1"/>
  <c r="K75" i="1" l="1"/>
  <c r="J64" i="1"/>
  <c r="J65" i="1"/>
  <c r="L69" i="1"/>
  <c r="L59" i="1"/>
  <c r="K59" i="1"/>
  <c r="K69" i="1"/>
  <c r="I94" i="1"/>
  <c r="J71" i="1"/>
  <c r="G94" i="1"/>
  <c r="F94" i="1"/>
  <c r="E94" i="1"/>
  <c r="D94" i="1"/>
  <c r="C94" i="1"/>
  <c r="C108" i="1" s="1"/>
  <c r="C109" i="1" s="1"/>
  <c r="J54" i="1"/>
  <c r="J57" i="1" s="1"/>
  <c r="B94" i="1"/>
  <c r="H94" i="1"/>
  <c r="H38" i="1"/>
  <c r="H39" i="1" s="1"/>
  <c r="H65" i="1" s="1"/>
  <c r="R48" i="1"/>
  <c r="Q48" i="1"/>
  <c r="P48" i="1"/>
  <c r="S3" i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H71" i="1"/>
  <c r="G71" i="1"/>
  <c r="F71" i="1"/>
  <c r="E58" i="1"/>
  <c r="E56" i="1"/>
  <c r="E55" i="1"/>
  <c r="E52" i="1"/>
  <c r="E51" i="1"/>
  <c r="E50" i="1"/>
  <c r="E49" i="1"/>
  <c r="I58" i="1"/>
  <c r="I56" i="1"/>
  <c r="I55" i="1"/>
  <c r="I52" i="1"/>
  <c r="I51" i="1"/>
  <c r="I50" i="1"/>
  <c r="I49" i="1"/>
  <c r="D54" i="1"/>
  <c r="H54" i="1"/>
  <c r="C54" i="1"/>
  <c r="E53" i="1" l="1"/>
  <c r="I53" i="1"/>
  <c r="P63" i="1"/>
  <c r="P54" i="1"/>
  <c r="I48" i="1"/>
  <c r="R54" i="1"/>
  <c r="E48" i="1"/>
  <c r="Q54" i="1"/>
  <c r="L68" i="1"/>
  <c r="L60" i="1"/>
  <c r="J67" i="1"/>
  <c r="K60" i="1"/>
  <c r="K68" i="1"/>
  <c r="J69" i="1"/>
  <c r="J59" i="1"/>
  <c r="R63" i="1"/>
  <c r="F54" i="1"/>
  <c r="F67" i="1" s="1"/>
  <c r="G54" i="1"/>
  <c r="G57" i="1" s="1"/>
  <c r="B67" i="1"/>
  <c r="R64" i="1"/>
  <c r="P65" i="1"/>
  <c r="R71" i="1"/>
  <c r="Q64" i="1"/>
  <c r="R65" i="1"/>
  <c r="Q71" i="1"/>
  <c r="Q63" i="1"/>
  <c r="Q65" i="1"/>
  <c r="P64" i="1"/>
  <c r="I72" i="1"/>
  <c r="I74" i="1"/>
  <c r="I73" i="1"/>
  <c r="I108" i="1"/>
  <c r="I109" i="1" s="1"/>
  <c r="E108" i="1"/>
  <c r="E109" i="1" s="1"/>
  <c r="D108" i="1"/>
  <c r="D109" i="1" s="1"/>
  <c r="H108" i="1"/>
  <c r="H109" i="1" s="1"/>
  <c r="D57" i="1"/>
  <c r="D67" i="1"/>
  <c r="H57" i="1"/>
  <c r="H67" i="1"/>
  <c r="G108" i="1"/>
  <c r="G109" i="1" s="1"/>
  <c r="C57" i="1"/>
  <c r="C67" i="1"/>
  <c r="B108" i="1"/>
  <c r="B109" i="1" s="1"/>
  <c r="F108" i="1"/>
  <c r="F109" i="1" s="1"/>
  <c r="E54" i="1" l="1"/>
  <c r="E57" i="1" s="1"/>
  <c r="E59" i="1" s="1"/>
  <c r="F75" i="1"/>
  <c r="E75" i="1"/>
  <c r="E63" i="1"/>
  <c r="E65" i="1"/>
  <c r="E64" i="1"/>
  <c r="I75" i="1"/>
  <c r="I65" i="1"/>
  <c r="I63" i="1"/>
  <c r="I64" i="1"/>
  <c r="J75" i="1"/>
  <c r="J60" i="1"/>
  <c r="J68" i="1"/>
  <c r="F57" i="1"/>
  <c r="F59" i="1" s="1"/>
  <c r="B57" i="1"/>
  <c r="B69" i="1" s="1"/>
  <c r="G67" i="1"/>
  <c r="G59" i="1"/>
  <c r="G69" i="1"/>
  <c r="I71" i="1"/>
  <c r="I54" i="1"/>
  <c r="I57" i="1" s="1"/>
  <c r="I59" i="1" s="1"/>
  <c r="D69" i="1"/>
  <c r="D59" i="1"/>
  <c r="H59" i="1"/>
  <c r="H69" i="1"/>
  <c r="C69" i="1"/>
  <c r="C59" i="1"/>
  <c r="I60" i="1" l="1"/>
  <c r="H111" i="1"/>
  <c r="H112" i="1" s="1"/>
  <c r="G111" i="1"/>
  <c r="G112" i="1" s="1"/>
  <c r="E67" i="1"/>
  <c r="F111" i="1"/>
  <c r="F112" i="1" s="1"/>
  <c r="I111" i="1"/>
  <c r="I112" i="1" s="1"/>
  <c r="G60" i="1"/>
  <c r="J111" i="1"/>
  <c r="J112" i="1" s="1"/>
  <c r="K111" i="1"/>
  <c r="K112" i="1" s="1"/>
  <c r="B59" i="1"/>
  <c r="F69" i="1"/>
  <c r="G68" i="1"/>
  <c r="I69" i="1"/>
  <c r="R57" i="1"/>
  <c r="R67" i="1"/>
  <c r="P67" i="1"/>
  <c r="P57" i="1"/>
  <c r="Q57" i="1"/>
  <c r="Q67" i="1"/>
  <c r="E60" i="1"/>
  <c r="E68" i="1"/>
  <c r="E69" i="1"/>
  <c r="D60" i="1"/>
  <c r="D68" i="1"/>
  <c r="H60" i="1"/>
  <c r="H68" i="1"/>
  <c r="C60" i="1"/>
  <c r="C68" i="1"/>
  <c r="F60" i="1"/>
  <c r="F68" i="1"/>
  <c r="B60" i="1" l="1"/>
  <c r="E111" i="1"/>
  <c r="E112" i="1" s="1"/>
  <c r="B68" i="1"/>
  <c r="R59" i="1"/>
  <c r="R69" i="1"/>
  <c r="P69" i="1"/>
  <c r="Q69" i="1"/>
  <c r="Q59" i="1"/>
  <c r="M6" i="2"/>
  <c r="M9" i="2" s="1"/>
  <c r="M11" i="2" s="1"/>
  <c r="I68" i="1"/>
  <c r="I67" i="1"/>
  <c r="R60" i="1" l="1"/>
  <c r="R68" i="1"/>
  <c r="P68" i="1"/>
  <c r="P60" i="1"/>
  <c r="Q60" i="1"/>
  <c r="Q68" i="1"/>
</calcChain>
</file>

<file path=xl/sharedStrings.xml><?xml version="1.0" encoding="utf-8"?>
<sst xmlns="http://schemas.openxmlformats.org/spreadsheetml/2006/main" count="188" uniqueCount="156">
  <si>
    <t>Coinbase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</si>
  <si>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</si>
  <si>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</si>
  <si>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</si>
  <si>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</si>
  <si>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</si>
  <si>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</si>
  <si>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</si>
  <si>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</si>
  <si>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</si>
  <si>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S&amp;M</t>
  </si>
  <si>
    <t>G&amp;A</t>
  </si>
  <si>
    <t>R&amp;D</t>
  </si>
  <si>
    <t>Operating expenses</t>
  </si>
  <si>
    <t>Pretax income</t>
  </si>
  <si>
    <t>Taxes</t>
  </si>
  <si>
    <t>EPS</t>
  </si>
  <si>
    <t>Shares</t>
  </si>
  <si>
    <t>(in millions)</t>
  </si>
  <si>
    <t>Income statement</t>
  </si>
  <si>
    <t>Price</t>
  </si>
  <si>
    <t>MC</t>
  </si>
  <si>
    <t>Cash</t>
  </si>
  <si>
    <t>Debt</t>
  </si>
  <si>
    <t>EV</t>
  </si>
  <si>
    <t>A/R</t>
  </si>
  <si>
    <t>PP&amp;E</t>
  </si>
  <si>
    <t>A/P</t>
  </si>
  <si>
    <t>Accrued expense</t>
  </si>
  <si>
    <t>Liabilities</t>
  </si>
  <si>
    <t>S/E</t>
  </si>
  <si>
    <t>L+S/E</t>
  </si>
  <si>
    <t>Assets</t>
  </si>
  <si>
    <t xml:space="preserve">Revenue y/y </t>
  </si>
  <si>
    <t>Interest income</t>
  </si>
  <si>
    <t>Net cash</t>
  </si>
  <si>
    <t>31//12/22</t>
  </si>
  <si>
    <t>(COIN)</t>
  </si>
  <si>
    <t>MTUs</t>
  </si>
  <si>
    <t>Trading volume (billions)</t>
  </si>
  <si>
    <t>Q124</t>
  </si>
  <si>
    <t>Q224</t>
  </si>
  <si>
    <t>Q324</t>
  </si>
  <si>
    <t>Consumer</t>
  </si>
  <si>
    <t>Institutional</t>
  </si>
  <si>
    <t>Bitcoin</t>
  </si>
  <si>
    <t>Ethereum</t>
  </si>
  <si>
    <t>USDT</t>
  </si>
  <si>
    <t>Other crypto assets</t>
  </si>
  <si>
    <t>n/a</t>
  </si>
  <si>
    <t>Transaction margin%</t>
  </si>
  <si>
    <t>Subscription &amp; service margin%</t>
  </si>
  <si>
    <t>Other revenue margin%</t>
  </si>
  <si>
    <t>Taxrate margin%</t>
  </si>
  <si>
    <t>Net margin%</t>
  </si>
  <si>
    <t>Operating margin%</t>
  </si>
  <si>
    <t>Transaction (consumer)</t>
  </si>
  <si>
    <t>Transaction (institutional)</t>
  </si>
  <si>
    <t>Blockchain rewards</t>
  </si>
  <si>
    <t>Custodial fee revenue</t>
  </si>
  <si>
    <t>Other subscription &amp; services</t>
  </si>
  <si>
    <t>Stablecoin revenue</t>
  </si>
  <si>
    <t>Total transaction revenue</t>
  </si>
  <si>
    <t>Corprate interest</t>
  </si>
  <si>
    <t>Crypto asset sales</t>
  </si>
  <si>
    <t>Total other revenue</t>
  </si>
  <si>
    <t>Total subscription &amp; services</t>
  </si>
  <si>
    <t>Other expense</t>
  </si>
  <si>
    <t>Blockchain reward fees</t>
  </si>
  <si>
    <t>Payment account verification</t>
  </si>
  <si>
    <t>Transaction reversal</t>
  </si>
  <si>
    <t>Miner fees</t>
  </si>
  <si>
    <t>Total transaction expense</t>
  </si>
  <si>
    <t>Transaction expense</t>
  </si>
  <si>
    <t>Fair price Bitcoin</t>
  </si>
  <si>
    <t>Amount of Bitcoin in safeguard</t>
  </si>
  <si>
    <t>Fair value Bitcoin in safeguard</t>
  </si>
  <si>
    <t>Crypto market cap</t>
  </si>
  <si>
    <t>Bitcoin market cap</t>
  </si>
  <si>
    <t>Other</t>
  </si>
  <si>
    <t>Full-time employees</t>
  </si>
  <si>
    <t>Net income</t>
  </si>
  <si>
    <t>Other interest</t>
  </si>
  <si>
    <t>Safeguarding</t>
  </si>
  <si>
    <t>Customer custodial</t>
  </si>
  <si>
    <t>Current assets</t>
  </si>
  <si>
    <t>Lease</t>
  </si>
  <si>
    <t>Current liabilities</t>
  </si>
  <si>
    <t>Goodwill</t>
  </si>
  <si>
    <t>D/T</t>
  </si>
  <si>
    <t>OCA</t>
  </si>
  <si>
    <t>ONCA</t>
  </si>
  <si>
    <t>OL</t>
  </si>
  <si>
    <t>Collateral</t>
  </si>
  <si>
    <t>Borrowed</t>
  </si>
  <si>
    <t>Borrowings</t>
  </si>
  <si>
    <t>Tax receivable</t>
  </si>
  <si>
    <t>Investments</t>
  </si>
  <si>
    <t>Obligation to return</t>
  </si>
  <si>
    <t>Revenue q/q</t>
  </si>
  <si>
    <t>SBC</t>
  </si>
  <si>
    <t>CFFO</t>
  </si>
  <si>
    <t>FCF</t>
  </si>
  <si>
    <t>TTM</t>
  </si>
  <si>
    <t>Solana</t>
  </si>
  <si>
    <t>NI TTM</t>
  </si>
  <si>
    <t>USDC</t>
  </si>
  <si>
    <t>BROA</t>
  </si>
  <si>
    <t>Sofi</t>
  </si>
  <si>
    <t>GAAP Equity</t>
  </si>
  <si>
    <t>adjustments</t>
  </si>
  <si>
    <t>Intangible assets</t>
  </si>
  <si>
    <t>Tangible bookvalue</t>
  </si>
  <si>
    <t>Shares outstanding</t>
  </si>
  <si>
    <t>Tangible bookvalue per share</t>
  </si>
  <si>
    <t>Operating income</t>
  </si>
  <si>
    <t>Founders</t>
  </si>
  <si>
    <t>Brain Armstrong</t>
  </si>
  <si>
    <t>Fred Ehrsam</t>
  </si>
  <si>
    <t>Founded</t>
  </si>
  <si>
    <t>IPO</t>
  </si>
  <si>
    <t>Revenue stream</t>
  </si>
  <si>
    <t>Trading fees</t>
  </si>
  <si>
    <t>Wallet services</t>
  </si>
  <si>
    <t>OTC Desk</t>
  </si>
  <si>
    <t>Prime Services</t>
  </si>
  <si>
    <t>Asset Custody</t>
  </si>
  <si>
    <t>Payment Services</t>
  </si>
  <si>
    <t>Staking module</t>
  </si>
  <si>
    <t>Earnings from Rewards</t>
  </si>
  <si>
    <t>Coinbase Funding</t>
  </si>
  <si>
    <t>Premium Services and Partnerships</t>
  </si>
  <si>
    <t>Taker Fee - 0,05% and 0,60%</t>
  </si>
  <si>
    <t>Maker Fee - 0,00% and 0,40%</t>
  </si>
  <si>
    <t>Varying Network Fees</t>
  </si>
  <si>
    <t>Spread - Vary as per Trade Size and Volume</t>
  </si>
  <si>
    <t>$1000 Onboard Fee</t>
  </si>
  <si>
    <t>Annual Custody Fee of 0,50% on Assets</t>
  </si>
  <si>
    <t>1% Fee for all Crypto Payments</t>
  </si>
  <si>
    <t>Commission from Staked Rewards</t>
  </si>
  <si>
    <t>Fees from Asset Issuers</t>
  </si>
  <si>
    <t>External Fees on Card Usage</t>
  </si>
  <si>
    <t>Coinbase One Premium Membership and other Fees</t>
  </si>
  <si>
    <t>Fee Structure/ Earnings</t>
  </si>
  <si>
    <t>Service Name</t>
  </si>
  <si>
    <t>Coinbase Exchange</t>
  </si>
  <si>
    <t>Coinbase Wallet</t>
  </si>
  <si>
    <t>Coinbase OTC</t>
  </si>
  <si>
    <t>Coinbase Prime</t>
  </si>
  <si>
    <t>Coinbase Custody</t>
  </si>
  <si>
    <t>Coinbase Commerce</t>
  </si>
  <si>
    <t>Coinbase Staking</t>
  </si>
  <si>
    <t>Learning Rewards</t>
  </si>
  <si>
    <t>Coinbase Card</t>
  </si>
  <si>
    <t>Coinbase One, API Acces,</t>
  </si>
  <si>
    <t>&amp; Asset 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</si>
</sst>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,,"/>
    <numFmt numFmtId="166" formatCode="0\x"/>
    <numFmt numFmtId="167" formatCode="_-* #,##0_-;\-* #,##0_-;_-* &quot;-&quot;??_-;_-@_-"/>
    <numFmt numFmtId="168" formatCode="#,##0.0"/>
    <numFmt numFmtId="169" formatCode="[$-413]d/mmm;@"/>
    <numFmt numFmtId="170" formatCode="0.0%"/>
    <numFmt numFmtId="171" formatCode="[$-413]mmm/yy;@"/>
  </numFmts>
  <fonts count="1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76">
    <xf numFmtId="0" fontId="0" fillId="0" borderId="0" xfId="0"/>
    <xf numFmtId="0" fontId="11" fillId="0" borderId="0" xfId="0" applyFont="1"/>
    <xf numFmtId="0" fontId="8" fillId="0" borderId="0" xfId="0" applyFont="1"/>
    <xf numFmtId="0" fontId="8" fillId="0" borderId="1" xfId="0" applyFont="1" applyBorder="1"/>
    <xf numFmtId="0" fontId="10" fillId="0" borderId="0" xfId="0" applyFont="1"/>
    <xf numFmtId="165" fontId="8" fillId="0" borderId="0" xfId="0" applyNumberFormat="1" applyFont="1"/>
    <xf numFmtId="2" fontId="8" fillId="0" borderId="0" xfId="1" applyNumberFormat="1" applyFont="1"/>
    <xf numFmtId="9" fontId="8" fillId="0" borderId="0" xfId="1" applyFont="1"/>
    <xf numFmtId="3" fontId="8" fillId="0" borderId="0" xfId="0" applyNumberFormat="1" applyFont="1"/>
    <xf numFmtId="0" fontId="8" fillId="0" borderId="1" xfId="0" applyFont="1" applyBorder="1" applyAlignment="1">
      <alignment horizontal="right"/>
    </xf>
    <xf numFmtId="14" fontId="8" fillId="0" borderId="0" xfId="0" applyNumberFormat="1" applyFont="1"/>
    <xf numFmtId="0" fontId="7" fillId="0" borderId="0" xfId="0" applyFont="1"/>
    <xf numFmtId="3" fontId="7" fillId="0" borderId="0" xfId="0" applyNumberFormat="1" applyFont="1"/>
    <xf numFmtId="166" fontId="7" fillId="0" borderId="0" xfId="0" applyNumberFormat="1" applyFont="1"/>
    <xf numFmtId="0" fontId="7" fillId="0" borderId="0" xfId="0" applyFont="1" applyAlignment="1">
      <alignment horizontal="right"/>
    </xf>
    <xf numFmtId="9" fontId="7" fillId="0" borderId="0" xfId="1" applyFont="1"/>
    <xf numFmtId="9" fontId="7" fillId="0" borderId="0" xfId="0" applyNumberFormat="1" applyFont="1"/>
    <xf numFmtId="9" fontId="8" fillId="0" borderId="0" xfId="1" applyFont="1" applyBorder="1"/>
    <xf numFmtId="0" fontId="8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10" fillId="0" borderId="0" xfId="0" applyNumberFormat="1" applyFont="1"/>
    <xf numFmtId="9" fontId="10" fillId="0" borderId="0" xfId="1" applyFont="1"/>
    <xf numFmtId="9" fontId="10" fillId="0" borderId="0" xfId="0" applyNumberFormat="1" applyFont="1"/>
    <xf numFmtId="0" fontId="7" fillId="0" borderId="1" xfId="0" applyFont="1" applyBorder="1" applyAlignment="1">
      <alignment horizontal="right"/>
    </xf>
    <xf numFmtId="9" fontId="8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9" fontId="8" fillId="0" borderId="0" xfId="0" applyNumberFormat="1" applyFont="1"/>
    <xf numFmtId="3" fontId="7" fillId="0" borderId="0" xfId="0" applyNumberFormat="1" applyFont="1" applyAlignment="1">
      <alignment horizontal="right"/>
    </xf>
    <xf numFmtId="167" fontId="8" fillId="0" borderId="0" xfId="0" applyNumberFormat="1" applyFont="1"/>
    <xf numFmtId="0" fontId="7" fillId="0" borderId="0" xfId="0" applyFont="1" applyAlignment="1">
      <alignment horizontal="left"/>
    </xf>
    <xf numFmtId="1" fontId="8" fillId="0" borderId="0" xfId="2" applyNumberFormat="1" applyFont="1" applyBorder="1" applyAlignment="1">
      <alignment horizontal="right"/>
    </xf>
    <xf numFmtId="0" fontId="6" fillId="0" borderId="0" xfId="0" applyFont="1"/>
    <xf numFmtId="168" fontId="10" fillId="0" borderId="0" xfId="0" applyNumberFormat="1" applyFont="1" applyAlignment="1">
      <alignment horizontal="right"/>
    </xf>
    <xf numFmtId="9" fontId="6" fillId="0" borderId="0" xfId="0" applyNumberFormat="1" applyFont="1"/>
    <xf numFmtId="9" fontId="6" fillId="0" borderId="0" xfId="0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8" fontId="8" fillId="0" borderId="0" xfId="0" applyNumberFormat="1" applyFont="1"/>
    <xf numFmtId="0" fontId="5" fillId="0" borderId="0" xfId="0" applyFont="1"/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9" fontId="4" fillId="0" borderId="0" xfId="1" applyFont="1"/>
    <xf numFmtId="3" fontId="4" fillId="0" borderId="0" xfId="0" applyNumberFormat="1" applyFont="1"/>
    <xf numFmtId="3" fontId="4" fillId="0" borderId="0" xfId="0" applyNumberFormat="1" applyFont="1" applyAlignment="1">
      <alignment horizontal="left" indent="1"/>
    </xf>
    <xf numFmtId="9" fontId="4" fillId="0" borderId="0" xfId="1" applyFont="1" applyAlignment="1">
      <alignment horizontal="left" indent="1"/>
    </xf>
    <xf numFmtId="0" fontId="4" fillId="0" borderId="0" xfId="0" applyFont="1"/>
    <xf numFmtId="9" fontId="4" fillId="0" borderId="0" xfId="0" applyNumberFormat="1" applyFont="1"/>
    <xf numFmtId="0" fontId="4" fillId="0" borderId="0" xfId="0" applyFont="1" applyAlignment="1">
      <alignment horizontal="left" indent="1"/>
    </xf>
    <xf numFmtId="169" fontId="8" fillId="0" borderId="0" xfId="0" applyNumberFormat="1" applyFont="1" applyAlignment="1">
      <alignment horizontal="right"/>
    </xf>
    <xf numFmtId="170" fontId="8" fillId="0" borderId="0" xfId="0" applyNumberFormat="1" applyFont="1"/>
    <xf numFmtId="1" fontId="8" fillId="0" borderId="0" xfId="0" applyNumberFormat="1" applyFont="1"/>
    <xf numFmtId="3" fontId="4" fillId="0" borderId="0" xfId="1" applyNumberFormat="1" applyFont="1"/>
    <xf numFmtId="0" fontId="4" fillId="0" borderId="0" xfId="0" applyFont="1" applyAlignment="1">
      <alignment horizontal="left" indent="2"/>
    </xf>
    <xf numFmtId="4" fontId="7" fillId="0" borderId="0" xfId="0" applyNumberFormat="1" applyFont="1"/>
    <xf numFmtId="2" fontId="7" fillId="0" borderId="0" xfId="0" applyNumberFormat="1" applyFont="1"/>
    <xf numFmtId="0" fontId="3" fillId="0" borderId="1" xfId="0" applyFont="1" applyBorder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171" fontId="7" fillId="0" borderId="0" xfId="0" applyNumberFormat="1" applyFont="1"/>
    <xf numFmtId="0" fontId="7" fillId="0" borderId="0" xfId="0" applyFont="1" applyBorder="1"/>
    <xf numFmtId="0" fontId="1" fillId="0" borderId="0" xfId="0" applyFont="1" applyBorder="1"/>
    <xf numFmtId="0" fontId="1" fillId="0" borderId="2" xfId="0" applyFont="1" applyBorder="1"/>
    <xf numFmtId="0" fontId="7" fillId="0" borderId="3" xfId="0" applyFont="1" applyBorder="1"/>
    <xf numFmtId="0" fontId="10" fillId="0" borderId="4" xfId="0" applyFont="1" applyBorder="1"/>
    <xf numFmtId="0" fontId="7" fillId="0" borderId="1" xfId="0" applyFont="1" applyBorder="1"/>
    <xf numFmtId="0" fontId="1" fillId="0" borderId="1" xfId="0" applyFont="1" applyBorder="1"/>
    <xf numFmtId="0" fontId="7" fillId="0" borderId="5" xfId="0" applyFont="1" applyBorder="1"/>
    <xf numFmtId="0" fontId="10" fillId="0" borderId="6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10" fillId="0" borderId="7" xfId="0" applyFont="1" applyBorder="1"/>
    <xf numFmtId="0" fontId="7" fillId="0" borderId="7" xfId="0" applyFont="1" applyBorder="1"/>
    <xf numFmtId="0" fontId="7" fillId="0" borderId="8" xfId="0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38100</xdr:rowOff>
    </xdr:from>
    <xdr:to>
      <xdr:col>18</xdr:col>
      <xdr:colOff>19050</xdr:colOff>
      <xdr:row>108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1A3463E-301E-0AB6-40FF-7C1989F86930}"/>
            </a:ext>
          </a:extLst>
        </xdr:cNvPr>
        <xdr:cNvCxnSpPr/>
      </xdr:nvCxnSpPr>
      <xdr:spPr>
        <a:xfrm>
          <a:off x="12877800" y="38100"/>
          <a:ext cx="0" cy="10753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0</xdr:row>
      <xdr:rowOff>28575</xdr:rowOff>
    </xdr:from>
    <xdr:to>
      <xdr:col>12</xdr:col>
      <xdr:colOff>28575</xdr:colOff>
      <xdr:row>129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75B653F-E5E2-4BD6-AAC2-F722539C710C}"/>
            </a:ext>
          </a:extLst>
        </xdr:cNvPr>
        <xdr:cNvCxnSpPr/>
      </xdr:nvCxnSpPr>
      <xdr:spPr>
        <a:xfrm>
          <a:off x="9191625" y="28575"/>
          <a:ext cx="0" cy="2617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AllCompanies.xlsx" TargetMode="External"/><Relationship Id="rId1" Type="http://schemas.openxmlformats.org/officeDocument/2006/relationships/externalLinkPath" Target="/Users/denni/Desktop/CompanyResearchModels/AllCompan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rnet"/>
      <sheetName val="Semiconductors"/>
      <sheetName val="Home Builders"/>
      <sheetName val="Tech"/>
      <sheetName val="EU Tech"/>
      <sheetName val="Cybersecurity"/>
      <sheetName val="Sportswear"/>
      <sheetName val="Travel Service"/>
      <sheetName val="Medical Dev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72F4-C76A-43D2-A6AB-2D87F126B0CC}">
  <dimension ref="A1:N45"/>
  <sheetViews>
    <sheetView tabSelected="1" workbookViewId="0">
      <selection activeCell="I25" sqref="I25"/>
    </sheetView>
  </sheetViews>
  <sheetFormatPr defaultRowHeight="12.75" x14ac:dyDescent="0.2"/>
  <cols>
    <col min="1" max="1" width="24.7109375" style="11" bestFit="1" customWidth="1"/>
    <col min="2" max="2" width="13.85546875" style="11" customWidth="1"/>
    <col min="3" max="3" width="9.140625" style="11"/>
    <col min="4" max="4" width="9.7109375" style="11" customWidth="1"/>
    <col min="5" max="16384" width="9.140625" style="11"/>
  </cols>
  <sheetData>
    <row r="1" spans="1:14" ht="34.5" x14ac:dyDescent="0.45">
      <c r="A1" s="1" t="s">
        <v>0</v>
      </c>
    </row>
    <row r="2" spans="1:14" x14ac:dyDescent="0.2">
      <c r="A2" s="11" t="s">
        <v>37</v>
      </c>
    </row>
    <row r="3" spans="1:14" x14ac:dyDescent="0.2">
      <c r="A3" s="11" t="s">
        <v>18</v>
      </c>
    </row>
    <row r="4" spans="1:14" x14ac:dyDescent="0.2">
      <c r="B4" s="71" t="s">
        <v>121</v>
      </c>
      <c r="C4" s="72"/>
      <c r="D4" s="73" t="s">
        <v>143</v>
      </c>
      <c r="E4" s="74"/>
      <c r="F4" s="74"/>
      <c r="G4" s="74"/>
      <c r="H4" s="73" t="s">
        <v>144</v>
      </c>
      <c r="I4" s="74"/>
      <c r="J4" s="75"/>
      <c r="L4" s="11" t="s">
        <v>20</v>
      </c>
      <c r="M4" s="56">
        <f>+[1]Internet!$D$28</f>
        <v>0</v>
      </c>
    </row>
    <row r="5" spans="1:14" x14ac:dyDescent="0.2">
      <c r="B5" s="65" t="s">
        <v>122</v>
      </c>
      <c r="C5" s="63"/>
      <c r="D5" s="64" t="s">
        <v>132</v>
      </c>
      <c r="E5" s="63"/>
      <c r="F5" s="63"/>
      <c r="G5" s="63"/>
      <c r="H5" s="64" t="s">
        <v>145</v>
      </c>
      <c r="I5" s="63"/>
      <c r="J5" s="66"/>
      <c r="L5" s="11" t="s">
        <v>17</v>
      </c>
      <c r="M5" s="12">
        <f>204.910047+45.440396</f>
        <v>250.35044299999998</v>
      </c>
      <c r="N5" s="60" t="s">
        <v>42</v>
      </c>
    </row>
    <row r="6" spans="1:14" x14ac:dyDescent="0.2">
      <c r="B6" s="65"/>
      <c r="C6" s="63"/>
      <c r="D6" s="64" t="s">
        <v>133</v>
      </c>
      <c r="E6" s="63"/>
      <c r="F6" s="63"/>
      <c r="G6" s="63"/>
      <c r="H6" s="63"/>
      <c r="I6" s="63"/>
      <c r="J6" s="66"/>
      <c r="L6" s="11" t="s">
        <v>21</v>
      </c>
      <c r="M6" s="12">
        <f>+M4*M5</f>
        <v>0</v>
      </c>
      <c r="N6" s="14"/>
    </row>
    <row r="7" spans="1:14" x14ac:dyDescent="0.2">
      <c r="B7" s="65" t="s">
        <v>123</v>
      </c>
      <c r="C7" s="63"/>
      <c r="D7" s="64" t="s">
        <v>134</v>
      </c>
      <c r="E7" s="63"/>
      <c r="F7" s="63"/>
      <c r="G7" s="63"/>
      <c r="H7" s="64" t="s">
        <v>146</v>
      </c>
      <c r="I7" s="63"/>
      <c r="J7" s="66"/>
      <c r="L7" s="11" t="s">
        <v>22</v>
      </c>
      <c r="M7" s="12">
        <f>+Model!L78</f>
        <v>7755.6869999999999</v>
      </c>
      <c r="N7" s="60" t="s">
        <v>42</v>
      </c>
    </row>
    <row r="8" spans="1:14" x14ac:dyDescent="0.2">
      <c r="B8" s="65" t="s">
        <v>124</v>
      </c>
      <c r="C8" s="63"/>
      <c r="D8" s="64" t="s">
        <v>135</v>
      </c>
      <c r="E8" s="63"/>
      <c r="F8" s="63"/>
      <c r="G8" s="63"/>
      <c r="H8" s="64" t="s">
        <v>147</v>
      </c>
      <c r="I8" s="63"/>
      <c r="J8" s="66"/>
      <c r="L8" s="11" t="s">
        <v>23</v>
      </c>
      <c r="M8" s="12">
        <f>+Model!L105</f>
        <v>4231.0469999999996</v>
      </c>
      <c r="N8" s="60" t="s">
        <v>42</v>
      </c>
    </row>
    <row r="9" spans="1:14" x14ac:dyDescent="0.2">
      <c r="B9" s="65" t="s">
        <v>125</v>
      </c>
      <c r="C9" s="63"/>
      <c r="D9" s="64" t="s">
        <v>136</v>
      </c>
      <c r="E9" s="63"/>
      <c r="F9" s="63"/>
      <c r="G9" s="63"/>
      <c r="H9" s="64" t="s">
        <v>148</v>
      </c>
      <c r="I9" s="63"/>
      <c r="J9" s="66"/>
      <c r="L9" s="11" t="s">
        <v>24</v>
      </c>
      <c r="M9" s="12">
        <f>+M6-M7+M8</f>
        <v>-3524.6400000000003</v>
      </c>
    </row>
    <row r="10" spans="1:14" x14ac:dyDescent="0.2">
      <c r="B10" s="65" t="s">
        <v>126</v>
      </c>
      <c r="C10" s="63"/>
      <c r="D10" s="64" t="s">
        <v>137</v>
      </c>
      <c r="E10" s="63"/>
      <c r="F10" s="63"/>
      <c r="G10" s="63"/>
      <c r="H10" s="64" t="s">
        <v>149</v>
      </c>
      <c r="I10" s="63"/>
      <c r="J10" s="66"/>
      <c r="M10" s="12">
        <v>1472</v>
      </c>
    </row>
    <row r="11" spans="1:14" x14ac:dyDescent="0.2">
      <c r="B11" s="65" t="s">
        <v>127</v>
      </c>
      <c r="C11" s="63"/>
      <c r="D11" s="64" t="s">
        <v>138</v>
      </c>
      <c r="E11" s="63"/>
      <c r="F11" s="63"/>
      <c r="G11" s="63"/>
      <c r="H11" s="64" t="s">
        <v>150</v>
      </c>
      <c r="I11" s="63"/>
      <c r="J11" s="66"/>
      <c r="M11" s="13">
        <f>+M9/M10</f>
        <v>-2.3944565217391305</v>
      </c>
    </row>
    <row r="12" spans="1:14" x14ac:dyDescent="0.2">
      <c r="B12" s="65" t="s">
        <v>128</v>
      </c>
      <c r="C12" s="63"/>
      <c r="D12" s="64" t="s">
        <v>139</v>
      </c>
      <c r="E12" s="63"/>
      <c r="F12" s="63"/>
      <c r="G12" s="63"/>
      <c r="H12" s="64" t="s">
        <v>151</v>
      </c>
      <c r="I12" s="63"/>
      <c r="J12" s="66"/>
    </row>
    <row r="13" spans="1:14" x14ac:dyDescent="0.2">
      <c r="B13" s="65" t="s">
        <v>129</v>
      </c>
      <c r="C13" s="63"/>
      <c r="D13" s="64" t="s">
        <v>140</v>
      </c>
      <c r="E13" s="63"/>
      <c r="F13" s="63"/>
      <c r="G13" s="63"/>
      <c r="H13" s="64" t="s">
        <v>152</v>
      </c>
      <c r="I13" s="63"/>
      <c r="J13" s="66"/>
      <c r="L13" s="61" t="s">
        <v>119</v>
      </c>
      <c r="M13" s="11">
        <v>2012</v>
      </c>
    </row>
    <row r="14" spans="1:14" x14ac:dyDescent="0.2">
      <c r="B14" s="65" t="s">
        <v>130</v>
      </c>
      <c r="C14" s="63"/>
      <c r="D14" s="64" t="s">
        <v>141</v>
      </c>
      <c r="E14" s="63"/>
      <c r="F14" s="63"/>
      <c r="G14" s="63"/>
      <c r="H14" s="64" t="s">
        <v>153</v>
      </c>
      <c r="I14" s="63"/>
      <c r="J14" s="66"/>
      <c r="L14" s="61" t="s">
        <v>116</v>
      </c>
      <c r="M14" s="61" t="s">
        <v>117</v>
      </c>
    </row>
    <row r="15" spans="1:14" x14ac:dyDescent="0.2">
      <c r="B15" s="65" t="s">
        <v>131</v>
      </c>
      <c r="C15" s="63"/>
      <c r="D15" s="64" t="s">
        <v>142</v>
      </c>
      <c r="E15" s="63"/>
      <c r="F15" s="63"/>
      <c r="G15" s="63"/>
      <c r="H15" s="64" t="s">
        <v>154</v>
      </c>
      <c r="I15" s="63"/>
      <c r="J15" s="66"/>
      <c r="M15" s="61" t="s">
        <v>118</v>
      </c>
    </row>
    <row r="16" spans="1:14" x14ac:dyDescent="0.2">
      <c r="B16" s="67"/>
      <c r="C16" s="68"/>
      <c r="D16" s="68"/>
      <c r="E16" s="68"/>
      <c r="F16" s="68"/>
      <c r="G16" s="68"/>
      <c r="H16" s="69" t="s">
        <v>155</v>
      </c>
      <c r="I16" s="68"/>
      <c r="J16" s="70"/>
      <c r="L16" s="61" t="s">
        <v>120</v>
      </c>
      <c r="M16" s="62">
        <v>44287</v>
      </c>
    </row>
    <row r="17" spans="2:4" x14ac:dyDescent="0.2">
      <c r="B17" s="40"/>
    </row>
    <row r="18" spans="2:4" x14ac:dyDescent="0.2">
      <c r="B18" s="40"/>
    </row>
    <row r="19" spans="2:4" x14ac:dyDescent="0.2">
      <c r="B19" s="40"/>
    </row>
    <row r="21" spans="2:4" x14ac:dyDescent="0.2">
      <c r="B21" s="40"/>
    </row>
    <row r="27" spans="2:4" x14ac:dyDescent="0.2">
      <c r="B27" s="4" t="s">
        <v>108</v>
      </c>
    </row>
    <row r="28" spans="2:4" x14ac:dyDescent="0.2">
      <c r="B28" s="47" t="s">
        <v>109</v>
      </c>
      <c r="D28" s="12">
        <v>6121.4809999999998</v>
      </c>
    </row>
    <row r="29" spans="2:4" x14ac:dyDescent="0.2">
      <c r="B29" s="49" t="s">
        <v>110</v>
      </c>
      <c r="C29" s="12"/>
    </row>
    <row r="30" spans="2:4" x14ac:dyDescent="0.2">
      <c r="B30" s="54" t="s">
        <v>88</v>
      </c>
      <c r="C30" s="12"/>
      <c r="D30" s="12">
        <v>-1393.5050000000001</v>
      </c>
    </row>
    <row r="31" spans="2:4" x14ac:dyDescent="0.2">
      <c r="B31" s="54" t="s">
        <v>111</v>
      </c>
      <c r="C31" s="12"/>
      <c r="D31" s="12">
        <v>-314.959</v>
      </c>
    </row>
    <row r="32" spans="2:4" x14ac:dyDescent="0.2">
      <c r="B32" s="54" t="s">
        <v>22</v>
      </c>
      <c r="D32" s="12">
        <v>-3909</v>
      </c>
    </row>
    <row r="33" spans="2:4" x14ac:dyDescent="0.2">
      <c r="B33" s="47" t="s">
        <v>112</v>
      </c>
      <c r="C33" s="12"/>
      <c r="D33" s="12">
        <f>+D28+SUM(D30:D32)</f>
        <v>504.01699999999983</v>
      </c>
    </row>
    <row r="34" spans="2:4" x14ac:dyDescent="0.2">
      <c r="B34" s="47" t="s">
        <v>113</v>
      </c>
      <c r="C34" s="12"/>
      <c r="D34" s="12">
        <v>1104.4504159999999</v>
      </c>
    </row>
    <row r="35" spans="2:4" x14ac:dyDescent="0.2">
      <c r="B35" s="47" t="s">
        <v>114</v>
      </c>
      <c r="C35" s="12"/>
      <c r="D35" s="55">
        <f>+D33/D34</f>
        <v>0.45635095310607393</v>
      </c>
    </row>
    <row r="37" spans="2:4" x14ac:dyDescent="0.2">
      <c r="B37" s="4" t="s">
        <v>0</v>
      </c>
      <c r="C37" s="12"/>
    </row>
    <row r="38" spans="2:4" x14ac:dyDescent="0.2">
      <c r="B38" s="47" t="s">
        <v>109</v>
      </c>
      <c r="D38" s="12">
        <f>+Model!L108</f>
        <v>8728.1219999999994</v>
      </c>
    </row>
    <row r="39" spans="2:4" x14ac:dyDescent="0.2">
      <c r="B39" s="49" t="s">
        <v>110</v>
      </c>
    </row>
    <row r="40" spans="2:4" x14ac:dyDescent="0.2">
      <c r="B40" s="54" t="s">
        <v>88</v>
      </c>
      <c r="D40" s="12">
        <v>-1140</v>
      </c>
    </row>
    <row r="41" spans="2:4" x14ac:dyDescent="0.2">
      <c r="B41" s="54" t="s">
        <v>111</v>
      </c>
      <c r="D41" s="11">
        <v>0</v>
      </c>
    </row>
    <row r="42" spans="2:4" x14ac:dyDescent="0.2">
      <c r="B42" s="54" t="s">
        <v>22</v>
      </c>
      <c r="D42" s="12">
        <v>-7756</v>
      </c>
    </row>
    <row r="43" spans="2:4" x14ac:dyDescent="0.2">
      <c r="B43" s="47" t="s">
        <v>112</v>
      </c>
      <c r="D43" s="12">
        <f>+D38+SUM(D40:D42)</f>
        <v>-167.87800000000061</v>
      </c>
    </row>
    <row r="44" spans="2:4" x14ac:dyDescent="0.2">
      <c r="B44" s="47" t="s">
        <v>113</v>
      </c>
      <c r="D44" s="12">
        <f>+Main!M5</f>
        <v>250.35044299999998</v>
      </c>
    </row>
    <row r="45" spans="2:4" x14ac:dyDescent="0.2">
      <c r="B45" s="47" t="s">
        <v>114</v>
      </c>
      <c r="D45" s="55">
        <f>+D43/D44</f>
        <v>-0.67057201093109553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14F8-EB43-4D63-BF18-4DAFA09CE4E9}">
  <dimension ref="A1:AD123"/>
  <sheetViews>
    <sheetView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L111" sqref="L111"/>
    </sheetView>
  </sheetViews>
  <sheetFormatPr defaultRowHeight="12.75" x14ac:dyDescent="0.2"/>
  <cols>
    <col min="1" max="1" width="27.85546875" style="2" bestFit="1" customWidth="1"/>
    <col min="2" max="4" width="10.140625" style="2" bestFit="1" customWidth="1"/>
    <col min="5" max="5" width="8.7109375" style="2" bestFit="1" customWidth="1"/>
    <col min="6" max="9" width="10.140625" style="2" bestFit="1" customWidth="1"/>
    <col min="10" max="11" width="10.140625" style="2" customWidth="1"/>
    <col min="12" max="12" width="10" style="2" customWidth="1"/>
    <col min="13" max="13" width="9.42578125" style="2" customWidth="1"/>
    <col min="14" max="15" width="9.5703125" style="2" customWidth="1"/>
    <col min="16" max="16" width="10.28515625" style="2" customWidth="1"/>
    <col min="17" max="17" width="10.42578125" style="2" customWidth="1"/>
    <col min="18" max="18" width="9.5703125" style="2" customWidth="1"/>
    <col min="19" max="16384" width="9.140625" style="2"/>
  </cols>
  <sheetData>
    <row r="1" spans="1:30" ht="34.5" x14ac:dyDescent="0.45">
      <c r="A1" s="1" t="s">
        <v>0</v>
      </c>
    </row>
    <row r="2" spans="1:30" s="50" customFormat="1" x14ac:dyDescent="0.2">
      <c r="A2" s="10" t="s">
        <v>18</v>
      </c>
      <c r="B2" s="50">
        <v>44651</v>
      </c>
      <c r="C2" s="50">
        <v>44772</v>
      </c>
      <c r="D2" s="50">
        <v>44834</v>
      </c>
      <c r="E2" s="50" t="s">
        <v>36</v>
      </c>
      <c r="F2" s="50">
        <v>45016</v>
      </c>
      <c r="G2" s="50">
        <v>45137</v>
      </c>
      <c r="H2" s="50">
        <v>45199</v>
      </c>
      <c r="I2" s="50">
        <v>45291</v>
      </c>
      <c r="J2" s="50">
        <v>45382</v>
      </c>
      <c r="K2" s="50">
        <v>45503</v>
      </c>
      <c r="L2" s="50">
        <v>45565</v>
      </c>
    </row>
    <row r="3" spans="1:30" s="9" customFormat="1" x14ac:dyDescent="0.2">
      <c r="A3" s="3" t="s">
        <v>19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23" t="s">
        <v>40</v>
      </c>
      <c r="K3" s="23" t="s">
        <v>41</v>
      </c>
      <c r="L3" s="23" t="s">
        <v>42</v>
      </c>
      <c r="M3" s="57" t="s">
        <v>8</v>
      </c>
      <c r="O3" s="9">
        <v>2020</v>
      </c>
      <c r="P3" s="9">
        <v>2021</v>
      </c>
      <c r="Q3" s="9">
        <v>2022</v>
      </c>
      <c r="R3" s="9">
        <v>2023</v>
      </c>
      <c r="S3" s="9">
        <f>R3+1</f>
        <v>2024</v>
      </c>
      <c r="T3" s="9">
        <f t="shared" ref="T3:AD3" si="0">S3+1</f>
        <v>2025</v>
      </c>
      <c r="U3" s="9">
        <f t="shared" si="0"/>
        <v>2026</v>
      </c>
      <c r="V3" s="9">
        <f t="shared" si="0"/>
        <v>2027</v>
      </c>
      <c r="W3" s="9">
        <f t="shared" si="0"/>
        <v>2028</v>
      </c>
      <c r="X3" s="9">
        <f t="shared" si="0"/>
        <v>2029</v>
      </c>
      <c r="Y3" s="9">
        <f>X3+1</f>
        <v>2030</v>
      </c>
      <c r="Z3" s="9">
        <f t="shared" si="0"/>
        <v>2031</v>
      </c>
      <c r="AA3" s="9">
        <f t="shared" si="0"/>
        <v>2032</v>
      </c>
      <c r="AB3" s="9">
        <f t="shared" si="0"/>
        <v>2033</v>
      </c>
      <c r="AC3" s="9">
        <f t="shared" si="0"/>
        <v>2034</v>
      </c>
      <c r="AD3" s="9">
        <f t="shared" si="0"/>
        <v>2035</v>
      </c>
    </row>
    <row r="4" spans="1:30" s="18" customFormat="1" x14ac:dyDescent="0.2">
      <c r="A4" s="33" t="s">
        <v>77</v>
      </c>
      <c r="J4" s="14"/>
      <c r="K4" s="14"/>
      <c r="L4" s="14"/>
      <c r="M4" s="14"/>
    </row>
    <row r="5" spans="1:30" s="18" customFormat="1" x14ac:dyDescent="0.2">
      <c r="A5" s="33" t="s">
        <v>78</v>
      </c>
      <c r="J5" s="14"/>
      <c r="K5" s="14"/>
      <c r="L5" s="14"/>
      <c r="M5" s="14"/>
    </row>
    <row r="6" spans="1:30" s="18" customFormat="1" x14ac:dyDescent="0.2">
      <c r="A6" s="2"/>
      <c r="J6" s="14"/>
      <c r="K6" s="14"/>
      <c r="L6" s="14"/>
      <c r="M6" s="14"/>
    </row>
    <row r="7" spans="1:30" s="27" customFormat="1" x14ac:dyDescent="0.2">
      <c r="A7" s="4" t="s">
        <v>38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>
        <v>11.2</v>
      </c>
      <c r="Q7" s="26">
        <v>8.3000000000000007</v>
      </c>
      <c r="R7" s="26">
        <v>7</v>
      </c>
    </row>
    <row r="8" spans="1:30" s="27" customFormat="1" x14ac:dyDescent="0.2">
      <c r="A8" s="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30" s="14" customFormat="1" x14ac:dyDescent="0.2">
      <c r="A9" s="31" t="s">
        <v>74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19"/>
      <c r="Q9" s="32">
        <v>16547</v>
      </c>
      <c r="R9" s="32">
        <v>42265</v>
      </c>
    </row>
    <row r="10" spans="1:30" s="27" customFormat="1" x14ac:dyDescent="0.2">
      <c r="A10" s="11" t="s">
        <v>76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19"/>
      <c r="Q10" s="19">
        <v>32468.925999999999</v>
      </c>
      <c r="R10" s="19">
        <v>89864.637000000002</v>
      </c>
    </row>
    <row r="11" spans="1:30" s="14" customFormat="1" x14ac:dyDescent="0.2">
      <c r="A11" s="11" t="s">
        <v>75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>
        <f>+Q10/Q9*1000</f>
        <v>1962.2243306943856</v>
      </c>
      <c r="R11" s="29">
        <f>+R10/R9*1000</f>
        <v>2126.218786229741</v>
      </c>
    </row>
    <row r="12" spans="1:30" s="18" customFormat="1" x14ac:dyDescent="0.2">
      <c r="A12" s="11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30" s="18" customFormat="1" x14ac:dyDescent="0.2">
      <c r="A13" s="11" t="s">
        <v>43</v>
      </c>
      <c r="B13" s="19"/>
      <c r="C13" s="19"/>
      <c r="D13" s="19"/>
      <c r="E13" s="19">
        <v>20</v>
      </c>
      <c r="F13" s="19">
        <v>21</v>
      </c>
      <c r="G13" s="19">
        <v>14</v>
      </c>
      <c r="H13" s="19">
        <v>11</v>
      </c>
      <c r="I13" s="19">
        <v>29</v>
      </c>
      <c r="J13" s="19">
        <v>56</v>
      </c>
      <c r="K13" s="19">
        <v>37</v>
      </c>
      <c r="L13" s="19">
        <v>34</v>
      </c>
      <c r="M13" s="19"/>
      <c r="N13" s="19"/>
      <c r="O13" s="19"/>
      <c r="P13" s="19">
        <v>535</v>
      </c>
      <c r="Q13" s="19">
        <v>167</v>
      </c>
      <c r="R13" s="19">
        <v>75</v>
      </c>
    </row>
    <row r="14" spans="1:30" s="18" customFormat="1" x14ac:dyDescent="0.2">
      <c r="A14" s="11" t="s">
        <v>44</v>
      </c>
      <c r="B14" s="19"/>
      <c r="C14" s="19"/>
      <c r="D14" s="19"/>
      <c r="E14" s="19">
        <v>125</v>
      </c>
      <c r="F14" s="19">
        <v>124</v>
      </c>
      <c r="G14" s="19">
        <v>78</v>
      </c>
      <c r="H14" s="19">
        <v>65</v>
      </c>
      <c r="I14" s="19">
        <v>125</v>
      </c>
      <c r="J14" s="19">
        <v>256</v>
      </c>
      <c r="K14" s="19">
        <v>189</v>
      </c>
      <c r="L14" s="19">
        <v>151</v>
      </c>
      <c r="M14" s="19"/>
      <c r="N14" s="19"/>
      <c r="O14" s="19"/>
      <c r="P14" s="19">
        <v>1136</v>
      </c>
      <c r="Q14" s="19">
        <v>663</v>
      </c>
      <c r="R14" s="19">
        <v>393</v>
      </c>
    </row>
    <row r="15" spans="1:30" s="27" customFormat="1" x14ac:dyDescent="0.2">
      <c r="A15" s="4" t="s">
        <v>39</v>
      </c>
      <c r="B15" s="26"/>
      <c r="C15" s="26"/>
      <c r="D15" s="34"/>
      <c r="E15" s="34">
        <f t="shared" ref="E15:H15" si="1">SUM(E13:E14)</f>
        <v>145</v>
      </c>
      <c r="F15" s="34">
        <f t="shared" si="1"/>
        <v>145</v>
      </c>
      <c r="G15" s="34">
        <f t="shared" si="1"/>
        <v>92</v>
      </c>
      <c r="H15" s="34">
        <f t="shared" si="1"/>
        <v>76</v>
      </c>
      <c r="I15" s="34">
        <f>SUM(I13:I14)</f>
        <v>154</v>
      </c>
      <c r="J15" s="26">
        <f>+SUM(J13:J14)</f>
        <v>312</v>
      </c>
      <c r="K15" s="26">
        <f>+SUM(K13:K14)</f>
        <v>226</v>
      </c>
      <c r="L15" s="26">
        <f>+SUM(L13:L14)</f>
        <v>185</v>
      </c>
      <c r="M15" s="26"/>
      <c r="N15" s="26"/>
      <c r="O15" s="26"/>
      <c r="P15" s="26">
        <f t="shared" ref="P15:Q15" si="2">+P14+P13</f>
        <v>1671</v>
      </c>
      <c r="Q15" s="26">
        <f t="shared" si="2"/>
        <v>830</v>
      </c>
      <c r="R15" s="26">
        <f>+R14+R13</f>
        <v>468</v>
      </c>
    </row>
    <row r="16" spans="1:30" s="24" customFormat="1" x14ac:dyDescent="0.2">
      <c r="A16" s="16" t="s">
        <v>45</v>
      </c>
      <c r="E16" s="24">
        <v>0.35</v>
      </c>
      <c r="F16" s="24">
        <v>0.32</v>
      </c>
      <c r="G16" s="24">
        <v>0.4</v>
      </c>
      <c r="H16" s="24">
        <v>0.38</v>
      </c>
      <c r="I16" s="24">
        <v>0.31</v>
      </c>
      <c r="J16" s="24">
        <v>0.33</v>
      </c>
      <c r="K16" s="24">
        <v>0.35</v>
      </c>
      <c r="L16" s="24">
        <v>0.37</v>
      </c>
      <c r="P16" s="24">
        <v>0.24</v>
      </c>
      <c r="Q16" s="24">
        <v>0.28999999999999998</v>
      </c>
      <c r="R16" s="24">
        <v>0.34</v>
      </c>
    </row>
    <row r="17" spans="1:18" s="24" customFormat="1" x14ac:dyDescent="0.2">
      <c r="A17" s="16" t="s">
        <v>46</v>
      </c>
      <c r="E17" s="24">
        <v>0.33</v>
      </c>
      <c r="F17" s="24">
        <v>0.24</v>
      </c>
      <c r="G17" s="24">
        <v>0.23</v>
      </c>
      <c r="H17" s="24">
        <v>0.19</v>
      </c>
      <c r="I17" s="24">
        <v>0.15</v>
      </c>
      <c r="J17" s="24">
        <v>0.13</v>
      </c>
      <c r="K17" s="24">
        <v>0.15</v>
      </c>
      <c r="L17" s="24">
        <v>0.15</v>
      </c>
      <c r="P17" s="24">
        <v>0.21</v>
      </c>
      <c r="Q17" s="24">
        <v>0.25</v>
      </c>
      <c r="R17" s="24">
        <v>0.2</v>
      </c>
    </row>
    <row r="18" spans="1:18" s="24" customFormat="1" x14ac:dyDescent="0.2">
      <c r="A18" s="16" t="s">
        <v>47</v>
      </c>
      <c r="E18" s="24">
        <v>0</v>
      </c>
      <c r="F18" s="24">
        <v>0</v>
      </c>
      <c r="G18" s="24">
        <v>0</v>
      </c>
      <c r="H18" s="24">
        <v>0.15</v>
      </c>
      <c r="I18" s="24">
        <v>0.13</v>
      </c>
      <c r="J18" s="24">
        <v>0.11</v>
      </c>
      <c r="K18" s="24">
        <v>0.1</v>
      </c>
      <c r="L18" s="24">
        <v>0.15</v>
      </c>
      <c r="P18" s="25" t="s">
        <v>49</v>
      </c>
      <c r="Q18" s="25" t="s">
        <v>49</v>
      </c>
      <c r="R18" s="24">
        <v>0.11</v>
      </c>
    </row>
    <row r="19" spans="1:18" s="24" customFormat="1" x14ac:dyDescent="0.2">
      <c r="A19" s="16" t="s">
        <v>48</v>
      </c>
      <c r="E19" s="24">
        <v>0.33</v>
      </c>
      <c r="F19" s="24">
        <v>0.45</v>
      </c>
      <c r="G19" s="24">
        <v>0.38</v>
      </c>
      <c r="H19" s="24">
        <v>0.28000000000000003</v>
      </c>
      <c r="I19" s="24">
        <v>0.42</v>
      </c>
      <c r="J19" s="24">
        <v>0.43</v>
      </c>
      <c r="K19" s="24">
        <v>0.4</v>
      </c>
      <c r="L19" s="24">
        <v>0.33</v>
      </c>
      <c r="M19" s="2"/>
      <c r="N19" s="2"/>
      <c r="O19" s="2"/>
      <c r="P19" s="24">
        <v>0.55000000000000004</v>
      </c>
      <c r="Q19" s="24">
        <v>0.46</v>
      </c>
      <c r="R19" s="24">
        <v>0.35</v>
      </c>
    </row>
    <row r="20" spans="1:18" s="24" customFormat="1" x14ac:dyDescent="0.2">
      <c r="A20" s="16"/>
      <c r="M20" s="2"/>
      <c r="N20" s="2"/>
      <c r="O20" s="2"/>
    </row>
    <row r="21" spans="1:18" s="19" customFormat="1" x14ac:dyDescent="0.2">
      <c r="A21" s="12" t="s">
        <v>56</v>
      </c>
      <c r="D21" s="37">
        <v>346.1</v>
      </c>
      <c r="E21" s="37">
        <v>308.8</v>
      </c>
      <c r="F21" s="37">
        <v>392.2</v>
      </c>
      <c r="G21" s="37">
        <v>289</v>
      </c>
      <c r="H21" s="37">
        <v>247</v>
      </c>
      <c r="I21" s="37">
        <v>468.9</v>
      </c>
      <c r="J21" s="37">
        <v>935.2</v>
      </c>
      <c r="K21" s="37">
        <v>664.8</v>
      </c>
      <c r="L21" s="37">
        <v>483.3</v>
      </c>
      <c r="O21" s="2"/>
      <c r="P21" s="19">
        <v>6490.9920000000002</v>
      </c>
      <c r="Q21" s="19">
        <v>2236.9</v>
      </c>
      <c r="R21" s="19">
        <v>1429.49</v>
      </c>
    </row>
    <row r="22" spans="1:18" s="19" customFormat="1" x14ac:dyDescent="0.2">
      <c r="A22" s="12" t="s">
        <v>57</v>
      </c>
      <c r="D22" s="37">
        <v>19.8</v>
      </c>
      <c r="E22" s="37">
        <v>13.4</v>
      </c>
      <c r="F22" s="37">
        <v>22.3</v>
      </c>
      <c r="G22" s="37">
        <v>17.100000000000001</v>
      </c>
      <c r="H22" s="37">
        <v>14.1</v>
      </c>
      <c r="I22" s="37">
        <v>36.700000000000003</v>
      </c>
      <c r="J22" s="37">
        <v>85.4</v>
      </c>
      <c r="K22" s="37">
        <v>63.6</v>
      </c>
      <c r="L22" s="37">
        <v>55.3</v>
      </c>
      <c r="O22" s="30"/>
      <c r="P22" s="19">
        <v>346.274</v>
      </c>
      <c r="Q22" s="19">
        <v>119.34399999999999</v>
      </c>
      <c r="R22" s="19">
        <v>90.164000000000001</v>
      </c>
    </row>
    <row r="23" spans="1:18" s="19" customFormat="1" x14ac:dyDescent="0.2">
      <c r="A23" s="41" t="s">
        <v>79</v>
      </c>
      <c r="D23" s="37"/>
      <c r="E23" s="37"/>
      <c r="F23" s="37">
        <v>23.3</v>
      </c>
      <c r="G23" s="37">
        <v>21.1</v>
      </c>
      <c r="H23" s="37">
        <v>27.5</v>
      </c>
      <c r="I23" s="37">
        <v>23.6</v>
      </c>
      <c r="J23" s="37">
        <v>56.1</v>
      </c>
      <c r="K23" s="37">
        <v>52.5</v>
      </c>
      <c r="L23" s="37">
        <v>34</v>
      </c>
      <c r="O23" s="30"/>
    </row>
    <row r="24" spans="1:18" s="26" customFormat="1" x14ac:dyDescent="0.2">
      <c r="A24" s="20" t="s">
        <v>62</v>
      </c>
      <c r="D24" s="34">
        <f t="shared" ref="D24:H24" si="3">+SUM(D21:D23)</f>
        <v>365.90000000000003</v>
      </c>
      <c r="E24" s="34">
        <f t="shared" si="3"/>
        <v>322.2</v>
      </c>
      <c r="F24" s="34">
        <f t="shared" si="3"/>
        <v>437.8</v>
      </c>
      <c r="G24" s="34">
        <f t="shared" si="3"/>
        <v>327.20000000000005</v>
      </c>
      <c r="H24" s="34">
        <f t="shared" si="3"/>
        <v>288.60000000000002</v>
      </c>
      <c r="I24" s="34">
        <f>+SUM(I21:I23)</f>
        <v>529.19999999999993</v>
      </c>
      <c r="J24" s="34">
        <f>+SUM(J21:J23)</f>
        <v>1076.7</v>
      </c>
      <c r="K24" s="34">
        <f t="shared" ref="K24:L24" si="4">+SUM(K21:K23)</f>
        <v>780.9</v>
      </c>
      <c r="L24" s="34">
        <f t="shared" si="4"/>
        <v>572.6</v>
      </c>
      <c r="M24" s="26">
        <f>190*3</f>
        <v>570</v>
      </c>
      <c r="P24" s="26">
        <f t="shared" ref="P24:Q24" si="5">+P22+P21</f>
        <v>6837.2660000000005</v>
      </c>
      <c r="Q24" s="26">
        <f t="shared" si="5"/>
        <v>2356.2440000000001</v>
      </c>
      <c r="R24" s="26">
        <f>+R22+R21</f>
        <v>1519.654</v>
      </c>
    </row>
    <row r="25" spans="1:18" s="36" customFormat="1" x14ac:dyDescent="0.2">
      <c r="A25" s="35" t="s">
        <v>45</v>
      </c>
      <c r="E25" s="36">
        <v>0.35</v>
      </c>
      <c r="F25" s="36">
        <v>0.36</v>
      </c>
      <c r="G25" s="36">
        <v>0.39</v>
      </c>
      <c r="H25" s="36">
        <v>0.37</v>
      </c>
      <c r="I25" s="36">
        <v>0.28999999999999998</v>
      </c>
      <c r="J25" s="36">
        <v>0.3</v>
      </c>
      <c r="K25" s="36">
        <v>0.31</v>
      </c>
      <c r="L25" s="36">
        <v>0.35</v>
      </c>
      <c r="Q25" s="36">
        <v>0.28999999999999998</v>
      </c>
      <c r="R25" s="36">
        <v>0.35</v>
      </c>
    </row>
    <row r="26" spans="1:18" s="36" customFormat="1" x14ac:dyDescent="0.2">
      <c r="A26" s="35" t="s">
        <v>46</v>
      </c>
      <c r="E26" s="36">
        <v>0.19</v>
      </c>
      <c r="F26" s="36">
        <v>0.17</v>
      </c>
      <c r="G26" s="36">
        <v>0.21</v>
      </c>
      <c r="H26" s="36">
        <v>0.17</v>
      </c>
      <c r="I26" s="36">
        <v>0.13</v>
      </c>
      <c r="J26" s="36">
        <v>0.15</v>
      </c>
      <c r="K26" s="36">
        <v>0.17</v>
      </c>
      <c r="L26" s="36">
        <v>0.16</v>
      </c>
      <c r="Q26" s="36">
        <v>0.22</v>
      </c>
      <c r="R26" s="36">
        <v>0.17</v>
      </c>
    </row>
    <row r="27" spans="1:18" s="36" customFormat="1" x14ac:dyDescent="0.2">
      <c r="A27" s="48" t="s">
        <v>104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0.1</v>
      </c>
      <c r="L27" s="36">
        <v>0.11</v>
      </c>
    </row>
    <row r="28" spans="1:18" s="36" customFormat="1" x14ac:dyDescent="0.2">
      <c r="A28" s="35" t="s">
        <v>48</v>
      </c>
      <c r="E28" s="36">
        <v>0.46</v>
      </c>
      <c r="F28" s="36">
        <v>0.46</v>
      </c>
      <c r="G28" s="36">
        <v>0.39</v>
      </c>
      <c r="H28" s="36">
        <v>0.46</v>
      </c>
      <c r="I28" s="36">
        <v>0.56999999999999995</v>
      </c>
      <c r="J28" s="36">
        <v>0.55000000000000004</v>
      </c>
      <c r="K28" s="36">
        <v>0.42</v>
      </c>
      <c r="L28" s="36">
        <v>0.38</v>
      </c>
      <c r="Q28" s="36">
        <v>0.49</v>
      </c>
      <c r="R28" s="36">
        <v>0.48</v>
      </c>
    </row>
    <row r="29" spans="1:18" s="19" customFormat="1" x14ac:dyDescent="0.2">
      <c r="A29" s="12"/>
    </row>
    <row r="30" spans="1:18" s="19" customFormat="1" x14ac:dyDescent="0.2">
      <c r="A30" s="12" t="s">
        <v>61</v>
      </c>
      <c r="D30" s="37">
        <v>76.900000000000006</v>
      </c>
      <c r="E30" s="37">
        <v>145.69999999999999</v>
      </c>
      <c r="F30" s="37">
        <v>198.9</v>
      </c>
      <c r="G30" s="37">
        <v>151.4</v>
      </c>
      <c r="H30" s="37">
        <v>172.4</v>
      </c>
      <c r="I30" s="37">
        <v>171.6</v>
      </c>
      <c r="J30" s="37">
        <v>197.3</v>
      </c>
      <c r="K30" s="37">
        <v>240.4</v>
      </c>
      <c r="L30" s="37">
        <v>246.9</v>
      </c>
      <c r="P30" s="19">
        <v>9.8819999999999997</v>
      </c>
      <c r="Q30" s="19">
        <v>245.71</v>
      </c>
      <c r="R30" s="19">
        <v>694.24699999999996</v>
      </c>
    </row>
    <row r="31" spans="1:18" s="19" customFormat="1" x14ac:dyDescent="0.2">
      <c r="A31" s="12" t="s">
        <v>58</v>
      </c>
      <c r="D31" s="37">
        <v>62.8</v>
      </c>
      <c r="E31" s="37">
        <v>62.4</v>
      </c>
      <c r="F31" s="37">
        <v>73.7</v>
      </c>
      <c r="G31" s="37">
        <v>87.6</v>
      </c>
      <c r="H31" s="37">
        <v>74.5</v>
      </c>
      <c r="I31" s="37">
        <v>95.1</v>
      </c>
      <c r="J31" s="37">
        <v>150.9</v>
      </c>
      <c r="K31" s="37">
        <v>185.1</v>
      </c>
      <c r="L31" s="37">
        <v>154.80000000000001</v>
      </c>
      <c r="P31" s="19">
        <v>223.05500000000001</v>
      </c>
      <c r="Q31" s="19">
        <v>274.50700000000001</v>
      </c>
      <c r="R31" s="19">
        <v>330.88499999999999</v>
      </c>
    </row>
    <row r="32" spans="1:18" s="19" customFormat="1" x14ac:dyDescent="0.2">
      <c r="A32" s="12" t="s">
        <v>34</v>
      </c>
      <c r="D32" s="37">
        <v>24.9</v>
      </c>
      <c r="E32" s="37">
        <v>36.5</v>
      </c>
      <c r="F32" s="34">
        <v>41.9</v>
      </c>
      <c r="G32" s="37">
        <v>50</v>
      </c>
      <c r="H32" s="37">
        <v>39.5</v>
      </c>
      <c r="I32" s="37">
        <v>42.6</v>
      </c>
      <c r="J32" s="37">
        <v>66.7</v>
      </c>
      <c r="K32" s="37">
        <v>69.400000000000006</v>
      </c>
      <c r="L32" s="37">
        <v>64</v>
      </c>
      <c r="P32" s="19">
        <v>15.952999999999999</v>
      </c>
      <c r="Q32" s="19">
        <v>81.245999999999995</v>
      </c>
      <c r="R32" s="19">
        <v>173.91399999999999</v>
      </c>
    </row>
    <row r="33" spans="1:19" s="19" customFormat="1" x14ac:dyDescent="0.2">
      <c r="A33" s="12" t="s">
        <v>59</v>
      </c>
      <c r="D33" s="37">
        <v>14.5</v>
      </c>
      <c r="E33" s="37">
        <v>11.4</v>
      </c>
      <c r="F33" s="37">
        <v>17</v>
      </c>
      <c r="G33" s="37">
        <v>17</v>
      </c>
      <c r="H33" s="37">
        <v>15.8</v>
      </c>
      <c r="I33" s="37">
        <v>19.7</v>
      </c>
      <c r="J33" s="37">
        <v>32.299999999999997</v>
      </c>
      <c r="K33" s="37">
        <v>34.5</v>
      </c>
      <c r="L33" s="37">
        <v>31.7</v>
      </c>
      <c r="P33" s="19">
        <v>136.29300000000001</v>
      </c>
      <c r="Q33" s="19">
        <v>79.846999999999994</v>
      </c>
      <c r="R33" s="19">
        <v>69.501000000000005</v>
      </c>
    </row>
    <row r="34" spans="1:19" s="19" customFormat="1" x14ac:dyDescent="0.2">
      <c r="A34" s="12" t="s">
        <v>60</v>
      </c>
      <c r="D34" s="37">
        <v>31.4</v>
      </c>
      <c r="E34" s="37">
        <v>26.7</v>
      </c>
      <c r="F34" s="37">
        <v>30.1</v>
      </c>
      <c r="G34" s="37">
        <v>29.4</v>
      </c>
      <c r="H34" s="37">
        <v>32.299999999999997</v>
      </c>
      <c r="I34" s="37">
        <v>46.5</v>
      </c>
      <c r="J34" s="37">
        <v>63.7</v>
      </c>
      <c r="K34" s="37">
        <v>69.599999999999994</v>
      </c>
      <c r="L34" s="37">
        <v>58.7</v>
      </c>
      <c r="P34" s="19">
        <v>132.304</v>
      </c>
      <c r="Q34" s="19">
        <v>110.261</v>
      </c>
      <c r="R34" s="19">
        <v>138.339</v>
      </c>
    </row>
    <row r="35" spans="1:19" s="26" customFormat="1" x14ac:dyDescent="0.2">
      <c r="A35" s="20" t="s">
        <v>66</v>
      </c>
      <c r="D35" s="34">
        <f t="shared" ref="D35:G35" si="6">SUM(D30:D34)</f>
        <v>210.5</v>
      </c>
      <c r="E35" s="34">
        <f t="shared" si="6"/>
        <v>282.7</v>
      </c>
      <c r="F35" s="34">
        <f t="shared" si="6"/>
        <v>361.6</v>
      </c>
      <c r="G35" s="34">
        <f t="shared" si="6"/>
        <v>335.4</v>
      </c>
      <c r="H35" s="34">
        <f>SUM(H30:H34)</f>
        <v>334.5</v>
      </c>
      <c r="I35" s="34">
        <f>SUM(I30:I34)</f>
        <v>375.5</v>
      </c>
      <c r="J35" s="34">
        <f>+SUM(J30:J34)</f>
        <v>510.90000000000003</v>
      </c>
      <c r="K35" s="34">
        <f>+SUM(K30:K34)</f>
        <v>599</v>
      </c>
      <c r="L35" s="34">
        <f>+SUM(L30:L34)</f>
        <v>556.1</v>
      </c>
      <c r="M35" s="26">
        <v>580</v>
      </c>
      <c r="P35" s="26">
        <f t="shared" ref="P35:Q35" si="7">+SUM(P30:P34)</f>
        <v>517.48699999999997</v>
      </c>
      <c r="Q35" s="26">
        <f t="shared" si="7"/>
        <v>791.57099999999991</v>
      </c>
      <c r="R35" s="26">
        <f>+SUM(R30:R34)</f>
        <v>1406.886</v>
      </c>
    </row>
    <row r="36" spans="1:19" s="26" customFormat="1" x14ac:dyDescent="0.2">
      <c r="A36" s="20"/>
      <c r="D36" s="34"/>
      <c r="E36" s="34"/>
      <c r="F36" s="34"/>
      <c r="G36" s="34"/>
      <c r="H36" s="34"/>
      <c r="I36" s="34"/>
    </row>
    <row r="37" spans="1:19" s="29" customFormat="1" x14ac:dyDescent="0.2">
      <c r="A37" s="12" t="s">
        <v>63</v>
      </c>
      <c r="D37" s="38">
        <v>14</v>
      </c>
      <c r="E37" s="38">
        <v>24.2</v>
      </c>
      <c r="F37" s="38">
        <v>36.1</v>
      </c>
      <c r="G37" s="38">
        <v>45.4</v>
      </c>
      <c r="H37" s="38">
        <v>51.1</v>
      </c>
      <c r="I37" s="38">
        <v>49.2</v>
      </c>
      <c r="J37" s="38">
        <v>49.9</v>
      </c>
      <c r="K37" s="38">
        <v>69.7</v>
      </c>
      <c r="L37" s="38">
        <v>76.599999999999994</v>
      </c>
      <c r="P37" s="29">
        <v>2.141</v>
      </c>
      <c r="Q37" s="29">
        <v>44.768000000000001</v>
      </c>
      <c r="R37" s="29">
        <v>181.827</v>
      </c>
    </row>
    <row r="38" spans="1:19" x14ac:dyDescent="0.2">
      <c r="A38" s="11" t="s">
        <v>64</v>
      </c>
      <c r="D38" s="39"/>
      <c r="E38" s="39"/>
      <c r="F38" s="39"/>
      <c r="G38" s="39"/>
      <c r="H38" s="39">
        <f>+H48-H24-H35-H37+H46</f>
        <v>39.403999999999989</v>
      </c>
      <c r="K38" s="39"/>
      <c r="L38" s="39"/>
      <c r="P38" s="8">
        <v>482.55</v>
      </c>
      <c r="Q38" s="8">
        <v>0.625</v>
      </c>
      <c r="R38" s="8">
        <v>1.6E-2</v>
      </c>
    </row>
    <row r="39" spans="1:19" s="26" customFormat="1" x14ac:dyDescent="0.2">
      <c r="A39" s="20" t="s">
        <v>65</v>
      </c>
      <c r="D39" s="34">
        <f t="shared" ref="D39:K39" si="8">+SUM(D37:D38)</f>
        <v>14</v>
      </c>
      <c r="E39" s="34">
        <f t="shared" si="8"/>
        <v>24.2</v>
      </c>
      <c r="F39" s="34">
        <f t="shared" si="8"/>
        <v>36.1</v>
      </c>
      <c r="G39" s="34">
        <f t="shared" si="8"/>
        <v>45.4</v>
      </c>
      <c r="H39" s="34">
        <f t="shared" si="8"/>
        <v>90.503999999999991</v>
      </c>
      <c r="I39" s="34">
        <f t="shared" si="8"/>
        <v>49.2</v>
      </c>
      <c r="J39" s="34">
        <f t="shared" si="8"/>
        <v>49.9</v>
      </c>
      <c r="K39" s="34">
        <f t="shared" si="8"/>
        <v>69.7</v>
      </c>
      <c r="L39" s="34">
        <f>+SUM(L37:L38)</f>
        <v>76.599999999999994</v>
      </c>
      <c r="M39" s="34">
        <v>80</v>
      </c>
      <c r="P39" s="26">
        <f t="shared" ref="P39:Q39" si="9">+P38+P37</f>
        <v>484.69100000000003</v>
      </c>
      <c r="Q39" s="26">
        <f t="shared" si="9"/>
        <v>45.393000000000001</v>
      </c>
      <c r="R39" s="26">
        <f>+R38+R37</f>
        <v>181.84299999999999</v>
      </c>
    </row>
    <row r="40" spans="1:19" s="26" customFormat="1" x14ac:dyDescent="0.2">
      <c r="A40" s="20"/>
      <c r="D40" s="34"/>
      <c r="E40" s="34"/>
      <c r="F40" s="34"/>
      <c r="G40" s="34"/>
      <c r="H40" s="34"/>
      <c r="I40" s="34"/>
    </row>
    <row r="41" spans="1:19" s="29" customFormat="1" x14ac:dyDescent="0.2">
      <c r="A41" s="12" t="s">
        <v>68</v>
      </c>
      <c r="D41" s="38"/>
      <c r="E41" s="38"/>
      <c r="F41" s="38"/>
      <c r="G41" s="38"/>
      <c r="H41" s="38"/>
      <c r="I41" s="38"/>
      <c r="J41" s="29">
        <v>151</v>
      </c>
      <c r="P41" s="29">
        <v>146.76900000000001</v>
      </c>
      <c r="Q41" s="29">
        <v>202.48</v>
      </c>
      <c r="R41" s="29">
        <v>229.851</v>
      </c>
    </row>
    <row r="42" spans="1:19" s="29" customFormat="1" x14ac:dyDescent="0.2">
      <c r="A42" s="12" t="s">
        <v>69</v>
      </c>
      <c r="D42" s="38"/>
      <c r="E42" s="38"/>
      <c r="F42" s="38"/>
      <c r="G42" s="38"/>
      <c r="H42" s="38"/>
      <c r="I42" s="38"/>
      <c r="P42" s="29">
        <v>341.01299999999998</v>
      </c>
      <c r="Q42" s="29">
        <v>194.04400000000001</v>
      </c>
      <c r="R42" s="29">
        <v>73.816000000000003</v>
      </c>
    </row>
    <row r="43" spans="1:19" s="29" customFormat="1" x14ac:dyDescent="0.2">
      <c r="A43" s="12" t="s">
        <v>70</v>
      </c>
      <c r="D43" s="38"/>
      <c r="E43" s="38"/>
      <c r="F43" s="38"/>
      <c r="G43" s="38"/>
      <c r="H43" s="38"/>
      <c r="I43" s="38"/>
      <c r="P43" s="29">
        <v>233.83199999999999</v>
      </c>
      <c r="Q43" s="29">
        <v>93.885999999999996</v>
      </c>
      <c r="R43" s="29">
        <v>51.500999999999998</v>
      </c>
    </row>
    <row r="44" spans="1:19" s="29" customFormat="1" x14ac:dyDescent="0.2">
      <c r="A44" s="12" t="s">
        <v>71</v>
      </c>
      <c r="D44" s="38"/>
      <c r="E44" s="38"/>
      <c r="F44" s="38"/>
      <c r="G44" s="38"/>
      <c r="H44" s="38"/>
      <c r="I44" s="38"/>
      <c r="P44" s="29">
        <v>542.88900000000001</v>
      </c>
      <c r="Q44" s="29">
        <v>131.714</v>
      </c>
      <c r="R44" s="29">
        <v>49.789000000000001</v>
      </c>
    </row>
    <row r="45" spans="1:19" s="19" customFormat="1" x14ac:dyDescent="0.2">
      <c r="A45" s="12" t="s">
        <v>67</v>
      </c>
      <c r="D45" s="37"/>
      <c r="E45" s="37"/>
      <c r="F45" s="37"/>
      <c r="G45" s="37"/>
      <c r="H45" s="37"/>
      <c r="I45" s="37"/>
      <c r="P45" s="19">
        <v>3.4209999999999998</v>
      </c>
      <c r="Q45" s="19">
        <v>7.7560000000000002</v>
      </c>
      <c r="R45" s="19">
        <v>15.747999999999999</v>
      </c>
    </row>
    <row r="46" spans="1:19" s="26" customFormat="1" x14ac:dyDescent="0.2">
      <c r="A46" s="20" t="s">
        <v>72</v>
      </c>
      <c r="D46" s="34"/>
      <c r="E46" s="34">
        <v>83</v>
      </c>
      <c r="F46" s="34">
        <v>96.4</v>
      </c>
      <c r="G46" s="34">
        <v>108.2</v>
      </c>
      <c r="H46" s="34">
        <v>90.6</v>
      </c>
      <c r="I46" s="34">
        <v>125.6</v>
      </c>
      <c r="P46" s="26">
        <f t="shared" ref="P46:Q46" si="10">SUM(P41:P45)</f>
        <v>1267.9240000000002</v>
      </c>
      <c r="Q46" s="26">
        <f t="shared" si="10"/>
        <v>629.88</v>
      </c>
      <c r="R46" s="26">
        <f>SUM(R41:R45)</f>
        <v>420.70499999999998</v>
      </c>
    </row>
    <row r="47" spans="1:19" s="19" customFormat="1" x14ac:dyDescent="0.2">
      <c r="A47" s="12"/>
      <c r="J47" s="24"/>
      <c r="K47" s="24"/>
    </row>
    <row r="48" spans="1:19" s="4" customFormat="1" x14ac:dyDescent="0.2">
      <c r="A48" s="4" t="s">
        <v>9</v>
      </c>
      <c r="B48" s="20">
        <v>1164.8910000000001</v>
      </c>
      <c r="C48" s="20">
        <v>802.60299999999995</v>
      </c>
      <c r="D48" s="20">
        <v>576.375</v>
      </c>
      <c r="E48" s="20">
        <f>Q48-SUM(B48:D48)</f>
        <v>649.33899999999994</v>
      </c>
      <c r="F48" s="20">
        <v>736.39800000000002</v>
      </c>
      <c r="G48" s="20">
        <v>662.5</v>
      </c>
      <c r="H48" s="20">
        <v>623.00400000000002</v>
      </c>
      <c r="I48" s="20">
        <f>R48-SUM(F48:H48)</f>
        <v>1086.4809999999998</v>
      </c>
      <c r="J48" s="26">
        <f>+J24+J35+J37</f>
        <v>1637.5000000000002</v>
      </c>
      <c r="K48" s="20">
        <v>1379.942</v>
      </c>
      <c r="L48" s="20">
        <v>1205.193</v>
      </c>
      <c r="M48" s="20">
        <f>+M24+M35+M39</f>
        <v>1230</v>
      </c>
      <c r="N48" s="20"/>
      <c r="O48" s="20"/>
      <c r="P48" s="20">
        <f t="shared" ref="P48:Q48" si="11">+P39+P35+P24</f>
        <v>7839.4440000000004</v>
      </c>
      <c r="Q48" s="20">
        <f t="shared" si="11"/>
        <v>3193.2080000000001</v>
      </c>
      <c r="R48" s="20">
        <f>+R39+R35+R24</f>
        <v>3108.3829999999998</v>
      </c>
      <c r="S48" s="20">
        <f>+SUM(J48:M48)</f>
        <v>5452.6350000000002</v>
      </c>
    </row>
    <row r="49" spans="1:19" x14ac:dyDescent="0.2">
      <c r="A49" s="11" t="s">
        <v>73</v>
      </c>
      <c r="B49" s="8">
        <v>277.82600000000002</v>
      </c>
      <c r="C49" s="8">
        <v>167.18700000000001</v>
      </c>
      <c r="D49" s="8">
        <v>101.876</v>
      </c>
      <c r="E49" s="8">
        <f>Q49-SUM(B49:D49)</f>
        <v>82.990999999999985</v>
      </c>
      <c r="F49" s="8">
        <v>96.369</v>
      </c>
      <c r="G49" s="8">
        <v>108.2</v>
      </c>
      <c r="H49" s="8">
        <v>90.576999999999998</v>
      </c>
      <c r="I49" s="8">
        <f>R49-SUM(F49:H49)</f>
        <v>125.55899999999997</v>
      </c>
      <c r="J49" s="8">
        <v>217.4</v>
      </c>
      <c r="K49" s="8">
        <v>108.2</v>
      </c>
      <c r="L49" s="8">
        <v>171.78100000000001</v>
      </c>
      <c r="M49" s="8">
        <f>+M48*0.15</f>
        <v>184.5</v>
      </c>
      <c r="N49" s="8"/>
      <c r="O49" s="8"/>
      <c r="P49" s="8">
        <v>1267.924</v>
      </c>
      <c r="Q49" s="8">
        <v>629.88</v>
      </c>
      <c r="R49" s="8">
        <v>420.70499999999998</v>
      </c>
    </row>
    <row r="50" spans="1:19" x14ac:dyDescent="0.2">
      <c r="A50" s="2" t="s">
        <v>12</v>
      </c>
      <c r="B50" s="8">
        <v>570.66399999999999</v>
      </c>
      <c r="C50" s="8">
        <v>609.24900000000002</v>
      </c>
      <c r="D50" s="8">
        <v>556.33799999999997</v>
      </c>
      <c r="E50" s="8">
        <f t="shared" ref="E50:E52" si="12">Q50-SUM(B50:D50)</f>
        <v>590.10299999999984</v>
      </c>
      <c r="F50" s="8">
        <v>358.03100000000001</v>
      </c>
      <c r="G50" s="8">
        <v>320.66699999999997</v>
      </c>
      <c r="H50" s="8">
        <v>322.75599999999997</v>
      </c>
      <c r="I50" s="8">
        <f t="shared" ref="I50:I52" si="13">R50-SUM(F50:H50)</f>
        <v>323.08699999999999</v>
      </c>
      <c r="J50" s="8">
        <v>357.9</v>
      </c>
      <c r="K50" s="42">
        <v>364.25799999999998</v>
      </c>
      <c r="L50" s="8">
        <v>377.44</v>
      </c>
      <c r="M50" s="8">
        <v>400</v>
      </c>
      <c r="N50" s="8"/>
      <c r="O50" s="8"/>
      <c r="P50" s="8">
        <v>1291.5609999999999</v>
      </c>
      <c r="Q50" s="8">
        <v>2326.3539999999998</v>
      </c>
      <c r="R50" s="8">
        <v>1324.5409999999999</v>
      </c>
    </row>
    <row r="51" spans="1:19" x14ac:dyDescent="0.2">
      <c r="A51" s="2" t="s">
        <v>10</v>
      </c>
      <c r="B51" s="8">
        <v>200.20400000000001</v>
      </c>
      <c r="C51" s="8">
        <v>140.89400000000001</v>
      </c>
      <c r="D51" s="8">
        <v>75.888000000000005</v>
      </c>
      <c r="E51" s="8">
        <f t="shared" si="12"/>
        <v>93.103000000000009</v>
      </c>
      <c r="F51" s="8">
        <v>63.975999999999999</v>
      </c>
      <c r="G51" s="8">
        <v>83.852999999999994</v>
      </c>
      <c r="H51" s="8">
        <v>78.177999999999997</v>
      </c>
      <c r="I51" s="8">
        <f t="shared" si="13"/>
        <v>106.30500000000001</v>
      </c>
      <c r="J51" s="8">
        <v>98.6</v>
      </c>
      <c r="K51" s="42">
        <v>165.262</v>
      </c>
      <c r="L51" s="8">
        <v>164.77</v>
      </c>
      <c r="M51" s="8">
        <v>220</v>
      </c>
      <c r="N51" s="8"/>
      <c r="O51" s="8"/>
      <c r="P51" s="8">
        <v>663.68899999999996</v>
      </c>
      <c r="Q51" s="8">
        <v>510.089</v>
      </c>
      <c r="R51" s="8">
        <v>332.31200000000001</v>
      </c>
    </row>
    <row r="52" spans="1:19" x14ac:dyDescent="0.2">
      <c r="A52" s="2" t="s">
        <v>11</v>
      </c>
      <c r="B52" s="8">
        <v>413.57799999999997</v>
      </c>
      <c r="C52" s="8">
        <v>470.16899999999998</v>
      </c>
      <c r="D52" s="8">
        <v>339.15699999999998</v>
      </c>
      <c r="E52" s="8">
        <f t="shared" si="12"/>
        <v>377.68200000000002</v>
      </c>
      <c r="F52" s="8">
        <v>248.761</v>
      </c>
      <c r="G52" s="8">
        <v>258.988</v>
      </c>
      <c r="H52" s="8">
        <v>252.63</v>
      </c>
      <c r="I52" s="8">
        <f t="shared" si="13"/>
        <v>280.92899999999997</v>
      </c>
      <c r="J52" s="8">
        <v>287.2</v>
      </c>
      <c r="K52" s="8">
        <v>320.11500000000001</v>
      </c>
      <c r="L52" s="8">
        <v>330.387</v>
      </c>
      <c r="M52" s="8">
        <v>330</v>
      </c>
      <c r="N52" s="8"/>
      <c r="O52" s="8"/>
      <c r="P52" s="8">
        <v>909.39200000000005</v>
      </c>
      <c r="Q52" s="8">
        <v>1600.586</v>
      </c>
      <c r="R52" s="8">
        <v>1041.308</v>
      </c>
    </row>
    <row r="53" spans="1:19" x14ac:dyDescent="0.2">
      <c r="A53" s="2" t="s">
        <v>13</v>
      </c>
      <c r="B53" s="8">
        <f>+SUM(B49:B52)</f>
        <v>1462.2719999999999</v>
      </c>
      <c r="C53" s="8">
        <f t="shared" ref="C53:M53" si="14">+SUM(C49:C52)</f>
        <v>1387.499</v>
      </c>
      <c r="D53" s="8">
        <f>+SUM(D49:D52)</f>
        <v>1073.259</v>
      </c>
      <c r="E53" s="8">
        <f t="shared" si="14"/>
        <v>1143.8789999999999</v>
      </c>
      <c r="F53" s="8">
        <f t="shared" si="14"/>
        <v>767.13699999999994</v>
      </c>
      <c r="G53" s="8">
        <f t="shared" si="14"/>
        <v>771.70799999999986</v>
      </c>
      <c r="H53" s="8">
        <f t="shared" si="14"/>
        <v>744.14099999999996</v>
      </c>
      <c r="I53" s="8">
        <f t="shared" si="14"/>
        <v>835.88</v>
      </c>
      <c r="J53" s="8">
        <f t="shared" si="14"/>
        <v>961.09999999999991</v>
      </c>
      <c r="K53" s="8">
        <f t="shared" si="14"/>
        <v>957.83500000000004</v>
      </c>
      <c r="L53" s="8">
        <f t="shared" si="14"/>
        <v>1044.3779999999999</v>
      </c>
      <c r="M53" s="8">
        <f t="shared" si="14"/>
        <v>1134.5</v>
      </c>
      <c r="N53" s="8"/>
      <c r="O53" s="8"/>
      <c r="P53" s="8">
        <f>+SUM(P49:P52)</f>
        <v>4132.5659999999998</v>
      </c>
      <c r="Q53" s="8">
        <f t="shared" ref="Q53:R53" si="15">+SUM(Q49:Q52)</f>
        <v>5066.9089999999997</v>
      </c>
      <c r="R53" s="8">
        <f t="shared" si="15"/>
        <v>3118.866</v>
      </c>
    </row>
    <row r="54" spans="1:19" s="47" customFormat="1" x14ac:dyDescent="0.2">
      <c r="A54" s="58" t="s">
        <v>115</v>
      </c>
      <c r="B54" s="44">
        <f t="shared" ref="B54:L54" si="16">+B48-B53</f>
        <v>-297.38099999999986</v>
      </c>
      <c r="C54" s="44">
        <f t="shared" si="16"/>
        <v>-584.89600000000007</v>
      </c>
      <c r="D54" s="44">
        <f t="shared" si="16"/>
        <v>-496.88400000000001</v>
      </c>
      <c r="E54" s="44">
        <f t="shared" si="16"/>
        <v>-494.53999999999996</v>
      </c>
      <c r="F54" s="44">
        <f t="shared" si="16"/>
        <v>-30.738999999999919</v>
      </c>
      <c r="G54" s="44">
        <f t="shared" si="16"/>
        <v>-109.20799999999986</v>
      </c>
      <c r="H54" s="44">
        <f t="shared" si="16"/>
        <v>-121.13699999999994</v>
      </c>
      <c r="I54" s="44">
        <f t="shared" si="16"/>
        <v>250.60099999999977</v>
      </c>
      <c r="J54" s="44">
        <f t="shared" si="16"/>
        <v>676.40000000000032</v>
      </c>
      <c r="K54" s="44">
        <f t="shared" si="16"/>
        <v>422.10699999999997</v>
      </c>
      <c r="L54" s="44">
        <f t="shared" si="16"/>
        <v>160.81500000000005</v>
      </c>
      <c r="M54" s="44">
        <f>+M48-M53</f>
        <v>95.5</v>
      </c>
      <c r="N54" s="44"/>
      <c r="O54" s="44"/>
      <c r="P54" s="44">
        <f>+P48-P53</f>
        <v>3706.8780000000006</v>
      </c>
      <c r="Q54" s="44">
        <f t="shared" ref="Q54:R54" si="17">+Q48-Q53</f>
        <v>-1873.7009999999996</v>
      </c>
      <c r="R54" s="44">
        <f t="shared" si="17"/>
        <v>-10.483000000000175</v>
      </c>
    </row>
    <row r="55" spans="1:19" x14ac:dyDescent="0.2">
      <c r="A55" s="2" t="s">
        <v>34</v>
      </c>
      <c r="B55" s="8">
        <v>22.138000000000002</v>
      </c>
      <c r="C55" s="8">
        <v>23.655999999999999</v>
      </c>
      <c r="D55" s="8">
        <v>21.507000000000001</v>
      </c>
      <c r="E55" s="8">
        <f>Q55-SUM(B55:D55)</f>
        <v>21.599999999999994</v>
      </c>
      <c r="F55" s="8">
        <v>21.536000000000001</v>
      </c>
      <c r="G55" s="8">
        <v>21.672000000000001</v>
      </c>
      <c r="H55" s="8">
        <v>20.821000000000002</v>
      </c>
      <c r="I55" s="8">
        <f>R55-SUM(F55:H55)</f>
        <v>18.737000000000009</v>
      </c>
      <c r="J55" s="8">
        <v>19.071000000000002</v>
      </c>
      <c r="K55" s="8">
        <v>20.507000000000001</v>
      </c>
      <c r="L55" s="8">
        <v>20.53</v>
      </c>
      <c r="M55" s="8">
        <v>20.53</v>
      </c>
      <c r="N55" s="8"/>
      <c r="O55" s="8"/>
      <c r="P55" s="8">
        <v>29.16</v>
      </c>
      <c r="Q55" s="8">
        <v>88.900999999999996</v>
      </c>
      <c r="R55" s="8">
        <v>82.766000000000005</v>
      </c>
    </row>
    <row r="56" spans="1:19" x14ac:dyDescent="0.2">
      <c r="A56" s="40" t="s">
        <v>82</v>
      </c>
      <c r="B56" s="8">
        <v>32.844000000000001</v>
      </c>
      <c r="C56" s="8">
        <v>172.524</v>
      </c>
      <c r="D56" s="8">
        <v>65.698999999999998</v>
      </c>
      <c r="E56" s="8">
        <f>Q56-SUM(B56:D56)</f>
        <v>-5.5939999999999941</v>
      </c>
      <c r="F56" s="8">
        <v>20.265000000000001</v>
      </c>
      <c r="G56" s="8">
        <v>-16.564</v>
      </c>
      <c r="H56" s="8">
        <v>-135.30699999999999</v>
      </c>
      <c r="I56" s="8">
        <f>R56-SUM(F56:H56)</f>
        <v>-35.977000000000004</v>
      </c>
      <c r="J56" s="8">
        <v>-45.604999999999997</v>
      </c>
      <c r="K56" s="8">
        <v>63.826999999999998</v>
      </c>
      <c r="L56" s="8">
        <v>-40.104999999999997</v>
      </c>
      <c r="M56" s="8">
        <v>7</v>
      </c>
      <c r="N56" s="8"/>
      <c r="O56" s="8"/>
      <c r="P56" s="8">
        <v>20.463000000000001</v>
      </c>
      <c r="Q56" s="8">
        <v>265.47300000000001</v>
      </c>
      <c r="R56" s="8">
        <v>-167.583</v>
      </c>
    </row>
    <row r="57" spans="1:19" x14ac:dyDescent="0.2">
      <c r="A57" s="2" t="s">
        <v>14</v>
      </c>
      <c r="B57" s="8">
        <f t="shared" ref="B57:M57" si="18">+B54-B55-B56</f>
        <v>-352.36299999999983</v>
      </c>
      <c r="C57" s="8">
        <f t="shared" si="18"/>
        <v>-781.07600000000002</v>
      </c>
      <c r="D57" s="8">
        <f t="shared" si="18"/>
        <v>-584.08999999999992</v>
      </c>
      <c r="E57" s="8">
        <f t="shared" si="18"/>
        <v>-510.54599999999999</v>
      </c>
      <c r="F57" s="8">
        <f t="shared" si="18"/>
        <v>-72.539999999999921</v>
      </c>
      <c r="G57" s="8">
        <f t="shared" si="18"/>
        <v>-114.31599999999986</v>
      </c>
      <c r="H57" s="8">
        <f t="shared" si="18"/>
        <v>-6.6509999999999536</v>
      </c>
      <c r="I57" s="8">
        <f t="shared" si="18"/>
        <v>267.84099999999978</v>
      </c>
      <c r="J57" s="8">
        <f t="shared" si="18"/>
        <v>702.93400000000031</v>
      </c>
      <c r="K57" s="8">
        <f t="shared" si="18"/>
        <v>337.77299999999997</v>
      </c>
      <c r="L57" s="8">
        <f t="shared" si="18"/>
        <v>180.39000000000004</v>
      </c>
      <c r="M57" s="8">
        <f t="shared" si="18"/>
        <v>67.97</v>
      </c>
      <c r="N57" s="8"/>
      <c r="O57" s="8"/>
      <c r="P57" s="8">
        <f>+P54-P55-P56</f>
        <v>3657.2550000000006</v>
      </c>
      <c r="Q57" s="8">
        <f>+Q54-Q55-Q56</f>
        <v>-2228.0749999999998</v>
      </c>
      <c r="R57" s="8">
        <f>+R54-R55-R56</f>
        <v>74.333999999999818</v>
      </c>
    </row>
    <row r="58" spans="1:19" x14ac:dyDescent="0.2">
      <c r="A58" s="2" t="s">
        <v>15</v>
      </c>
      <c r="B58" s="8">
        <v>-179.786</v>
      </c>
      <c r="C58" s="8">
        <v>-146.91499999999999</v>
      </c>
      <c r="D58" s="8">
        <v>-99.055000000000007</v>
      </c>
      <c r="E58" s="8">
        <f>Q58-SUM(B58:D58)</f>
        <v>-13.876999999999953</v>
      </c>
      <c r="F58" s="8">
        <v>-86.78</v>
      </c>
      <c r="G58" s="8">
        <v>18.722000000000001</v>
      </c>
      <c r="H58" s="8">
        <v>36.926000000000002</v>
      </c>
      <c r="I58" s="8">
        <f>R58-SUM(F58:H58)</f>
        <v>-140.584</v>
      </c>
      <c r="J58" s="8">
        <v>261.17899999999997</v>
      </c>
      <c r="K58" s="8">
        <v>-96.387</v>
      </c>
      <c r="L58" s="8">
        <v>-6.9139999999999997</v>
      </c>
      <c r="M58" s="8">
        <f>+M57*0.21</f>
        <v>14.2737</v>
      </c>
      <c r="N58" s="8"/>
      <c r="O58" s="8"/>
      <c r="P58" s="8">
        <v>-597.173</v>
      </c>
      <c r="Q58" s="8">
        <v>-439.63299999999998</v>
      </c>
      <c r="R58" s="8">
        <v>-171.71600000000001</v>
      </c>
    </row>
    <row r="59" spans="1:19" s="4" customFormat="1" x14ac:dyDescent="0.2">
      <c r="A59" s="4" t="s">
        <v>81</v>
      </c>
      <c r="B59" s="20">
        <f t="shared" ref="B59:M59" si="19">+B57-B58</f>
        <v>-172.57699999999983</v>
      </c>
      <c r="C59" s="20">
        <f t="shared" si="19"/>
        <v>-634.16100000000006</v>
      </c>
      <c r="D59" s="20">
        <f t="shared" si="19"/>
        <v>-485.03499999999991</v>
      </c>
      <c r="E59" s="20">
        <f t="shared" si="19"/>
        <v>-496.66900000000004</v>
      </c>
      <c r="F59" s="20">
        <f t="shared" si="19"/>
        <v>14.24000000000008</v>
      </c>
      <c r="G59" s="20">
        <f t="shared" si="19"/>
        <v>-133.03799999999987</v>
      </c>
      <c r="H59" s="20">
        <f t="shared" si="19"/>
        <v>-43.576999999999956</v>
      </c>
      <c r="I59" s="20">
        <f t="shared" si="19"/>
        <v>408.42499999999978</v>
      </c>
      <c r="J59" s="20">
        <f t="shared" si="19"/>
        <v>441.75500000000034</v>
      </c>
      <c r="K59" s="20">
        <f t="shared" si="19"/>
        <v>434.15999999999997</v>
      </c>
      <c r="L59" s="20">
        <f t="shared" si="19"/>
        <v>187.30400000000003</v>
      </c>
      <c r="M59" s="20">
        <f t="shared" si="19"/>
        <v>53.696300000000001</v>
      </c>
      <c r="N59" s="20"/>
      <c r="O59" s="20"/>
      <c r="P59" s="20">
        <f t="shared" ref="P59" si="20">+P57-P58</f>
        <v>4254.4280000000008</v>
      </c>
      <c r="Q59" s="20">
        <f>+Q57-Q58</f>
        <v>-1788.4419999999998</v>
      </c>
      <c r="R59" s="20">
        <f>+R57-R58</f>
        <v>246.04999999999984</v>
      </c>
      <c r="S59" s="20">
        <f>+SUM(J59:M59)</f>
        <v>1116.9153000000003</v>
      </c>
    </row>
    <row r="60" spans="1:19" s="6" customFormat="1" x14ac:dyDescent="0.2">
      <c r="A60" s="6" t="s">
        <v>16</v>
      </c>
      <c r="B60" s="6">
        <f t="shared" ref="B60:L60" si="21">SUM(B59/B61)</f>
        <v>-0.79355963066509627</v>
      </c>
      <c r="C60" s="6">
        <f t="shared" si="21"/>
        <v>-2.8696626061143595</v>
      </c>
      <c r="D60" s="6">
        <f t="shared" si="21"/>
        <v>-2.1661471266010466</v>
      </c>
      <c r="E60" s="6">
        <f t="shared" si="21"/>
        <v>-2.2340878217296258</v>
      </c>
      <c r="F60" s="6">
        <f t="shared" si="21"/>
        <v>6.1514801999231407E-2</v>
      </c>
      <c r="G60" s="6">
        <f t="shared" si="21"/>
        <v>-0.56838932006729803</v>
      </c>
      <c r="H60" s="6">
        <f t="shared" si="21"/>
        <v>-0.18365996544021559</v>
      </c>
      <c r="I60" s="6">
        <f t="shared" si="21"/>
        <v>1.7321116558380965</v>
      </c>
      <c r="J60" s="6">
        <f t="shared" si="21"/>
        <v>1.6486779003153644</v>
      </c>
      <c r="K60" s="6">
        <f t="shared" si="21"/>
        <v>1.6270973012880809</v>
      </c>
      <c r="L60" s="6">
        <f t="shared" si="21"/>
        <v>0.70035895901884548</v>
      </c>
      <c r="P60" s="6">
        <f>SUM(P59/P61)</f>
        <v>23.993074628212437</v>
      </c>
      <c r="Q60" s="6">
        <f>SUM(Q59/Q61)</f>
        <v>-8.0446665527137284</v>
      </c>
      <c r="R60" s="6">
        <f>SUM(R59/R61)</f>
        <v>1.0434867427776546</v>
      </c>
    </row>
    <row r="61" spans="1:19" s="5" customFormat="1" x14ac:dyDescent="0.2">
      <c r="A61" s="5" t="s">
        <v>17</v>
      </c>
      <c r="B61" s="8">
        <v>217.47200000000001</v>
      </c>
      <c r="C61" s="8">
        <v>220.988</v>
      </c>
      <c r="D61" s="8">
        <v>223.916</v>
      </c>
      <c r="E61" s="8">
        <v>222.31399999999999</v>
      </c>
      <c r="F61" s="8">
        <v>231.489</v>
      </c>
      <c r="G61" s="8">
        <v>234.06139999999999</v>
      </c>
      <c r="H61" s="8">
        <v>237.27</v>
      </c>
      <c r="I61" s="8">
        <v>235.79599999999999</v>
      </c>
      <c r="J61" s="8">
        <v>267.94499999999999</v>
      </c>
      <c r="K61" s="8">
        <v>266.83100000000002</v>
      </c>
      <c r="L61" s="8">
        <v>267.44</v>
      </c>
      <c r="M61" s="8"/>
      <c r="N61" s="8"/>
      <c r="O61" s="8"/>
      <c r="P61" s="8">
        <v>177.31899999999999</v>
      </c>
      <c r="Q61" s="8">
        <v>222.31399999999999</v>
      </c>
      <c r="R61" s="8">
        <v>235.79599999999999</v>
      </c>
    </row>
    <row r="62" spans="1:19" s="5" customFormat="1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9" s="7" customFormat="1" x14ac:dyDescent="0.2">
      <c r="A63" s="15" t="s">
        <v>50</v>
      </c>
      <c r="B63" s="7">
        <f t="shared" ref="B63:K63" si="22">+B24/B48</f>
        <v>0</v>
      </c>
      <c r="C63" s="7">
        <f t="shared" si="22"/>
        <v>0</v>
      </c>
      <c r="D63" s="7">
        <f t="shared" si="22"/>
        <v>0.63482975493385385</v>
      </c>
      <c r="E63" s="7">
        <f t="shared" si="22"/>
        <v>0.49619690177241782</v>
      </c>
      <c r="F63" s="7">
        <f t="shared" si="22"/>
        <v>0.59451546582147152</v>
      </c>
      <c r="G63" s="7">
        <f t="shared" si="22"/>
        <v>0.49388679245283024</v>
      </c>
      <c r="H63" s="7">
        <f t="shared" si="22"/>
        <v>0.4632394013521583</v>
      </c>
      <c r="I63" s="7">
        <f t="shared" si="22"/>
        <v>0.487077086483795</v>
      </c>
      <c r="J63" s="7">
        <f t="shared" si="22"/>
        <v>0.65752671755725189</v>
      </c>
      <c r="K63" s="7">
        <f t="shared" si="22"/>
        <v>0.56589334914076095</v>
      </c>
      <c r="L63" s="7">
        <f>+L24/L48</f>
        <v>0.4751106254350963</v>
      </c>
      <c r="P63" s="7">
        <f>+SUM(P21:P22)/P48</f>
        <v>0.87216210741476052</v>
      </c>
      <c r="Q63" s="7">
        <f>+SUM(Q21:Q22)/Q48</f>
        <v>0.73789242667561905</v>
      </c>
      <c r="R63" s="7">
        <f>+SUM(R21:R22)/R48</f>
        <v>0.48888891748539354</v>
      </c>
    </row>
    <row r="64" spans="1:19" s="7" customFormat="1" x14ac:dyDescent="0.2">
      <c r="A64" s="15" t="s">
        <v>51</v>
      </c>
      <c r="B64" s="7">
        <f t="shared" ref="B64:K64" si="23">+B35/B48</f>
        <v>0</v>
      </c>
      <c r="C64" s="7">
        <f t="shared" si="23"/>
        <v>0</v>
      </c>
      <c r="D64" s="7">
        <f t="shared" si="23"/>
        <v>0.36521361960529169</v>
      </c>
      <c r="E64" s="7">
        <f t="shared" si="23"/>
        <v>0.43536581046263972</v>
      </c>
      <c r="F64" s="7">
        <f t="shared" si="23"/>
        <v>0.49103881325044341</v>
      </c>
      <c r="G64" s="7">
        <f t="shared" si="23"/>
        <v>0.50626415094339616</v>
      </c>
      <c r="H64" s="7">
        <f t="shared" si="23"/>
        <v>0.53691469075639964</v>
      </c>
      <c r="I64" s="7">
        <f t="shared" si="23"/>
        <v>0.34561119798689538</v>
      </c>
      <c r="J64" s="7">
        <f t="shared" si="23"/>
        <v>0.312</v>
      </c>
      <c r="K64" s="7">
        <f t="shared" si="23"/>
        <v>0.43407621479743352</v>
      </c>
      <c r="L64" s="7">
        <f>+L35/L48</f>
        <v>0.46141987216985164</v>
      </c>
      <c r="P64" s="7">
        <f>+P35/P48</f>
        <v>6.6010676267347523E-2</v>
      </c>
      <c r="Q64" s="7">
        <f>+Q35/Q48</f>
        <v>0.24789208845775154</v>
      </c>
      <c r="R64" s="7">
        <f>+R35/R48</f>
        <v>0.45261024783625442</v>
      </c>
    </row>
    <row r="65" spans="1:18" s="28" customFormat="1" x14ac:dyDescent="0.2">
      <c r="A65" s="16" t="s">
        <v>52</v>
      </c>
      <c r="B65" s="28">
        <f t="shared" ref="B65:K65" si="24">+B39/B48</f>
        <v>0</v>
      </c>
      <c r="C65" s="28">
        <f t="shared" si="24"/>
        <v>0</v>
      </c>
      <c r="D65" s="28">
        <f t="shared" si="24"/>
        <v>2.4289741921492084E-2</v>
      </c>
      <c r="E65" s="28">
        <f t="shared" si="24"/>
        <v>3.7268668599914685E-2</v>
      </c>
      <c r="F65" s="28">
        <f t="shared" si="24"/>
        <v>4.902240364585455E-2</v>
      </c>
      <c r="G65" s="28">
        <f t="shared" si="24"/>
        <v>6.8528301886792445E-2</v>
      </c>
      <c r="H65" s="28">
        <f t="shared" si="24"/>
        <v>0.14527033534295122</v>
      </c>
      <c r="I65" s="28">
        <f t="shared" si="24"/>
        <v>4.528381076153197E-2</v>
      </c>
      <c r="J65" s="28">
        <f t="shared" si="24"/>
        <v>3.0473282442748086E-2</v>
      </c>
      <c r="K65" s="28">
        <f t="shared" si="24"/>
        <v>5.0509369234359128E-2</v>
      </c>
      <c r="L65" s="28">
        <f>+L39/L48</f>
        <v>6.3558284855620636E-2</v>
      </c>
      <c r="P65" s="28">
        <f>+P39/P48</f>
        <v>6.1827216317891932E-2</v>
      </c>
      <c r="Q65" s="28">
        <f>+Q39/Q48</f>
        <v>1.4215484866629421E-2</v>
      </c>
      <c r="R65" s="28">
        <f>+R39/R48</f>
        <v>5.8500834678352057E-2</v>
      </c>
    </row>
    <row r="67" spans="1:18" s="7" customFormat="1" x14ac:dyDescent="0.2">
      <c r="A67" s="15" t="s">
        <v>55</v>
      </c>
      <c r="B67" s="7">
        <f t="shared" ref="B67:L67" si="25">+B54/B48</f>
        <v>-0.2552865461231994</v>
      </c>
      <c r="C67" s="7">
        <f t="shared" si="25"/>
        <v>-0.72874883348305464</v>
      </c>
      <c r="D67" s="7">
        <f t="shared" si="25"/>
        <v>-0.86208458035133384</v>
      </c>
      <c r="E67" s="7">
        <f t="shared" si="25"/>
        <v>-0.76160526319842181</v>
      </c>
      <c r="F67" s="7">
        <f t="shared" si="25"/>
        <v>-4.1742373010247066E-2</v>
      </c>
      <c r="G67" s="7">
        <f t="shared" si="25"/>
        <v>-0.16484226415094319</v>
      </c>
      <c r="H67" s="7">
        <f t="shared" si="25"/>
        <v>-0.19444016410809553</v>
      </c>
      <c r="I67" s="7">
        <f t="shared" si="25"/>
        <v>0.23065382643598906</v>
      </c>
      <c r="J67" s="7">
        <f t="shared" si="25"/>
        <v>0.41306870229007647</v>
      </c>
      <c r="K67" s="7">
        <f t="shared" si="25"/>
        <v>0.30588749382220409</v>
      </c>
      <c r="L67" s="7">
        <f t="shared" si="25"/>
        <v>0.13343505977880726</v>
      </c>
      <c r="P67" s="7">
        <f>+P54/P48</f>
        <v>0.4728496051505694</v>
      </c>
      <c r="Q67" s="7">
        <f>+Q54/Q48</f>
        <v>-0.58677699667544347</v>
      </c>
      <c r="R67" s="7">
        <f>+R54/R48</f>
        <v>-3.3724930293339579E-3</v>
      </c>
    </row>
    <row r="68" spans="1:18" s="7" customFormat="1" x14ac:dyDescent="0.2">
      <c r="A68" s="15" t="s">
        <v>54</v>
      </c>
      <c r="B68" s="7">
        <f t="shared" ref="B68:L68" si="26">+B59/B48</f>
        <v>-0.14814862506449086</v>
      </c>
      <c r="C68" s="7">
        <f t="shared" si="26"/>
        <v>-0.79013036333031406</v>
      </c>
      <c r="D68" s="7">
        <f t="shared" si="26"/>
        <v>-0.84152678377792223</v>
      </c>
      <c r="E68" s="7">
        <f t="shared" si="26"/>
        <v>-0.7648839820186375</v>
      </c>
      <c r="F68" s="7">
        <f t="shared" si="26"/>
        <v>1.9337369194375977E-2</v>
      </c>
      <c r="G68" s="7">
        <f t="shared" si="26"/>
        <v>-0.20081207547169791</v>
      </c>
      <c r="H68" s="7">
        <f t="shared" si="26"/>
        <v>-6.9946581402366523E-2</v>
      </c>
      <c r="I68" s="7">
        <f t="shared" si="26"/>
        <v>0.37591545549346916</v>
      </c>
      <c r="J68" s="7">
        <f t="shared" si="26"/>
        <v>0.26977404580152686</v>
      </c>
      <c r="K68" s="7">
        <f t="shared" si="26"/>
        <v>0.31462191889224328</v>
      </c>
      <c r="L68" s="7">
        <f t="shared" si="26"/>
        <v>0.1554141120965688</v>
      </c>
      <c r="P68" s="7">
        <f>+P59/P48</f>
        <v>0.54269511970491791</v>
      </c>
      <c r="Q68" s="7">
        <f>+Q59/Q48</f>
        <v>-0.56007688819519419</v>
      </c>
      <c r="R68" s="7">
        <f>+R59/R48</f>
        <v>7.9156912130840973E-2</v>
      </c>
    </row>
    <row r="69" spans="1:18" s="7" customFormat="1" x14ac:dyDescent="0.2">
      <c r="A69" s="15" t="s">
        <v>53</v>
      </c>
      <c r="B69" s="7">
        <f t="shared" ref="B69:L69" si="27">+B58/B57</f>
        <v>0.51022950763842989</v>
      </c>
      <c r="C69" s="7">
        <f t="shared" si="27"/>
        <v>0.18809309209347105</v>
      </c>
      <c r="D69" s="7">
        <f t="shared" si="27"/>
        <v>0.16958859079936314</v>
      </c>
      <c r="E69" s="7">
        <f t="shared" si="27"/>
        <v>2.7180704579019232E-2</v>
      </c>
      <c r="F69" s="7">
        <f t="shared" si="27"/>
        <v>1.1963054866280687</v>
      </c>
      <c r="G69" s="7">
        <f t="shared" si="27"/>
        <v>-0.16377409986353639</v>
      </c>
      <c r="H69" s="7">
        <f t="shared" si="27"/>
        <v>-5.5519470756277638</v>
      </c>
      <c r="I69" s="7">
        <f t="shared" si="27"/>
        <v>-0.52487856601491223</v>
      </c>
      <c r="J69" s="7">
        <f t="shared" si="27"/>
        <v>0.37155550876753701</v>
      </c>
      <c r="K69" s="7">
        <f t="shared" si="27"/>
        <v>-0.28536028634615557</v>
      </c>
      <c r="L69" s="7">
        <f t="shared" si="27"/>
        <v>-3.8328066966018058E-2</v>
      </c>
      <c r="P69" s="7">
        <f>+P58/P57</f>
        <v>-0.16328448522183986</v>
      </c>
      <c r="Q69" s="7">
        <f>+Q58/Q57</f>
        <v>0.19731517116793645</v>
      </c>
      <c r="R69" s="7">
        <f>+R58/R57</f>
        <v>-2.310059999461894</v>
      </c>
    </row>
    <row r="70" spans="1:18" s="7" customFormat="1" x14ac:dyDescent="0.2"/>
    <row r="71" spans="1:18" s="22" customFormat="1" x14ac:dyDescent="0.2">
      <c r="A71" s="21" t="s">
        <v>33</v>
      </c>
      <c r="F71" s="22">
        <f t="shared" ref="F71:L71" si="28">+F48/B48-1</f>
        <v>-0.36783956610532664</v>
      </c>
      <c r="G71" s="22">
        <f t="shared" si="28"/>
        <v>-0.17456077288522465</v>
      </c>
      <c r="H71" s="22">
        <f t="shared" si="28"/>
        <v>8.0900455432661111E-2</v>
      </c>
      <c r="I71" s="22">
        <f t="shared" si="28"/>
        <v>0.67321075740098757</v>
      </c>
      <c r="J71" s="22">
        <f t="shared" si="28"/>
        <v>1.2236616612212421</v>
      </c>
      <c r="K71" s="22">
        <f t="shared" si="28"/>
        <v>1.0829313207547169</v>
      </c>
      <c r="L71" s="22">
        <f t="shared" si="28"/>
        <v>0.93448677697093419</v>
      </c>
      <c r="Q71" s="22">
        <f>+Q48/P48-1</f>
        <v>-0.59267417434195591</v>
      </c>
      <c r="R71" s="22">
        <f>+R48/Q48-1</f>
        <v>-2.6564195003895841E-2</v>
      </c>
    </row>
    <row r="72" spans="1:18" s="16" customFormat="1" x14ac:dyDescent="0.2">
      <c r="A72" s="15" t="s">
        <v>12</v>
      </c>
      <c r="F72" s="16">
        <f t="shared" ref="F72:L74" si="29">+F50/B50-1</f>
        <v>-0.37260629722568794</v>
      </c>
      <c r="G72" s="16">
        <f t="shared" si="29"/>
        <v>-0.47366840158949797</v>
      </c>
      <c r="H72" s="16">
        <f t="shared" si="29"/>
        <v>-0.41985627442310247</v>
      </c>
      <c r="I72" s="16">
        <f t="shared" si="29"/>
        <v>-0.45249049742163638</v>
      </c>
      <c r="J72" s="16">
        <f t="shared" si="29"/>
        <v>-3.6589010448828674E-4</v>
      </c>
      <c r="K72" s="16">
        <f t="shared" si="29"/>
        <v>0.13593852813042817</v>
      </c>
      <c r="L72" s="16">
        <f t="shared" si="29"/>
        <v>0.169428298776785</v>
      </c>
      <c r="Q72" s="16">
        <f t="shared" ref="Q72:R74" si="30">+Q50/P50-1</f>
        <v>0.8011956074858253</v>
      </c>
      <c r="R72" s="16">
        <f t="shared" si="30"/>
        <v>-0.43063652393401863</v>
      </c>
    </row>
    <row r="73" spans="1:18" s="16" customFormat="1" x14ac:dyDescent="0.2">
      <c r="A73" s="15" t="s">
        <v>10</v>
      </c>
      <c r="F73" s="16">
        <f t="shared" si="29"/>
        <v>-0.68044594513596135</v>
      </c>
      <c r="G73" s="16">
        <f t="shared" si="29"/>
        <v>-0.40485045495194971</v>
      </c>
      <c r="H73" s="16">
        <f t="shared" si="29"/>
        <v>3.0176048914189124E-2</v>
      </c>
      <c r="I73" s="16">
        <f t="shared" si="29"/>
        <v>0.14179994199972068</v>
      </c>
      <c r="J73" s="16">
        <f t="shared" si="29"/>
        <v>0.54120295110666494</v>
      </c>
      <c r="K73" s="16">
        <f t="shared" si="29"/>
        <v>0.97085375597772305</v>
      </c>
      <c r="L73" s="16">
        <f t="shared" si="29"/>
        <v>1.1076261863951498</v>
      </c>
      <c r="Q73" s="16">
        <f t="shared" si="30"/>
        <v>-0.23143369861486329</v>
      </c>
      <c r="R73" s="16">
        <f t="shared" si="30"/>
        <v>-0.34852153251687445</v>
      </c>
    </row>
    <row r="74" spans="1:18" s="16" customFormat="1" x14ac:dyDescent="0.2">
      <c r="A74" s="15" t="s">
        <v>11</v>
      </c>
      <c r="F74" s="16">
        <f t="shared" si="29"/>
        <v>-0.39851491133474215</v>
      </c>
      <c r="G74" s="16">
        <f t="shared" si="29"/>
        <v>-0.44915977021028608</v>
      </c>
      <c r="H74" s="16">
        <f t="shared" si="29"/>
        <v>-0.25512373325627946</v>
      </c>
      <c r="I74" s="16">
        <f t="shared" si="29"/>
        <v>-0.25617583046054626</v>
      </c>
      <c r="J74" s="16">
        <f t="shared" si="29"/>
        <v>0.15452181009081012</v>
      </c>
      <c r="K74" s="16">
        <f t="shared" si="29"/>
        <v>0.23602251841784172</v>
      </c>
      <c r="L74" s="16">
        <f t="shared" si="29"/>
        <v>0.30779004868780424</v>
      </c>
      <c r="Q74" s="16">
        <f t="shared" si="30"/>
        <v>0.76006166757569882</v>
      </c>
      <c r="R74" s="16">
        <f t="shared" si="30"/>
        <v>-0.34942077464128762</v>
      </c>
    </row>
    <row r="75" spans="1:18" s="28" customFormat="1" x14ac:dyDescent="0.2">
      <c r="A75" s="48" t="s">
        <v>99</v>
      </c>
      <c r="C75" s="28">
        <f t="shared" ref="C75:K75" si="31">+C48/B48-1</f>
        <v>-0.311005922442529</v>
      </c>
      <c r="D75" s="28">
        <f t="shared" si="31"/>
        <v>-0.28186787241014544</v>
      </c>
      <c r="E75" s="28">
        <f t="shared" si="31"/>
        <v>0.12659119496855342</v>
      </c>
      <c r="F75" s="28">
        <f t="shared" si="31"/>
        <v>0.13407326527437924</v>
      </c>
      <c r="G75" s="28">
        <f t="shared" si="31"/>
        <v>-0.10035062561278008</v>
      </c>
      <c r="H75" s="28">
        <f t="shared" si="31"/>
        <v>-5.9616603773584909E-2</v>
      </c>
      <c r="I75" s="28">
        <f t="shared" si="31"/>
        <v>0.74393904373005593</v>
      </c>
      <c r="J75" s="28">
        <f t="shared" si="31"/>
        <v>0.5071593520733455</v>
      </c>
      <c r="K75" s="28">
        <f t="shared" si="31"/>
        <v>-0.15728732824427494</v>
      </c>
      <c r="L75" s="28">
        <f>+L48/K48-1</f>
        <v>-0.12663503248687269</v>
      </c>
    </row>
    <row r="77" spans="1:18" x14ac:dyDescent="0.2">
      <c r="A77" s="17" t="s">
        <v>35</v>
      </c>
      <c r="B77" s="8">
        <f t="shared" ref="B77:K77" si="32">+B78+B88-B105</f>
        <v>2342.9879999999998</v>
      </c>
      <c r="C77" s="8">
        <f t="shared" si="32"/>
        <v>3223.3940000000007</v>
      </c>
      <c r="D77" s="8">
        <f t="shared" si="32"/>
        <v>2629.6540000000005</v>
      </c>
      <c r="E77" s="8">
        <f t="shared" si="32"/>
        <v>2342.9879999999998</v>
      </c>
      <c r="F77" s="8">
        <f t="shared" si="32"/>
        <v>2466.8610000000003</v>
      </c>
      <c r="G77" s="8">
        <f t="shared" si="32"/>
        <v>2654.0279999999998</v>
      </c>
      <c r="H77" s="8">
        <f t="shared" si="32"/>
        <v>2907.3040000000001</v>
      </c>
      <c r="I77" s="8">
        <f t="shared" si="32"/>
        <v>2632.3110000000001</v>
      </c>
      <c r="J77" s="8">
        <f t="shared" si="32"/>
        <v>4042.2129999999988</v>
      </c>
      <c r="K77" s="8">
        <f t="shared" si="32"/>
        <v>4265.9560000000001</v>
      </c>
      <c r="L77" s="8">
        <f>+L78+L88-L105</f>
        <v>4785.3580000000011</v>
      </c>
      <c r="M77" s="8"/>
    </row>
    <row r="78" spans="1:18" x14ac:dyDescent="0.2">
      <c r="A78" s="17" t="s">
        <v>22</v>
      </c>
      <c r="B78" s="8">
        <f>4425.021+861.149+25.873</f>
        <v>5312.0429999999997</v>
      </c>
      <c r="C78" s="8">
        <f>5682.068+361.714+28.962</f>
        <v>6072.7440000000006</v>
      </c>
      <c r="D78" s="8">
        <f>5006.584+368.121+23.113</f>
        <v>5397.8180000000002</v>
      </c>
      <c r="E78" s="8">
        <f>4425.021+861.149+25.873</f>
        <v>5312.0429999999997</v>
      </c>
      <c r="F78" s="8">
        <f>5018.409+302.851+26.712</f>
        <v>5347.9719999999998</v>
      </c>
      <c r="G78" s="8">
        <f>5166.733+315.508+20.697</f>
        <v>5502.9380000000001</v>
      </c>
      <c r="H78" s="8">
        <f>5100.799+400.799+26.319</f>
        <v>5527.9170000000004</v>
      </c>
      <c r="I78" s="8">
        <f>5139.351+22.992</f>
        <v>5162.3429999999998</v>
      </c>
      <c r="J78" s="8">
        <f>6711.4+33.499</f>
        <v>6744.8989999999994</v>
      </c>
      <c r="K78" s="8">
        <f>7225.535+34.282</f>
        <v>7259.817</v>
      </c>
      <c r="L78" s="8">
        <f>7723.806+31.881</f>
        <v>7755.6869999999999</v>
      </c>
      <c r="M78" s="8"/>
      <c r="Q78" s="5"/>
      <c r="R78" s="5"/>
    </row>
    <row r="79" spans="1:18" x14ac:dyDescent="0.2">
      <c r="A79" s="43" t="s">
        <v>84</v>
      </c>
      <c r="B79" s="8">
        <v>5041.1189999999997</v>
      </c>
      <c r="C79" s="8">
        <v>7181.1480000000001</v>
      </c>
      <c r="D79" s="8">
        <v>6591.1049999999996</v>
      </c>
      <c r="E79" s="8">
        <v>5041.1189999999997</v>
      </c>
      <c r="F79" s="8">
        <v>5370.6580000000004</v>
      </c>
      <c r="G79" s="8">
        <v>3848.078</v>
      </c>
      <c r="H79" s="8">
        <v>3474.489</v>
      </c>
      <c r="I79" s="8">
        <v>4570.8450000000003</v>
      </c>
      <c r="J79" s="8">
        <v>5201.9059999999999</v>
      </c>
      <c r="K79" s="8">
        <v>4197.8370000000004</v>
      </c>
      <c r="L79" s="8">
        <v>4035.0450000000001</v>
      </c>
      <c r="M79" s="8"/>
      <c r="Q79" s="5"/>
      <c r="R79" s="5"/>
    </row>
    <row r="80" spans="1:18" x14ac:dyDescent="0.2">
      <c r="A80" s="43" t="s">
        <v>83</v>
      </c>
      <c r="B80" s="8">
        <v>75413.187999999995</v>
      </c>
      <c r="C80" s="8">
        <v>88453.873000000007</v>
      </c>
      <c r="D80" s="8">
        <v>95113.123999999996</v>
      </c>
      <c r="E80" s="8">
        <v>75413.187999999995</v>
      </c>
      <c r="F80" s="8">
        <v>124357.889</v>
      </c>
      <c r="G80" s="8">
        <v>124243.587</v>
      </c>
      <c r="H80" s="8">
        <v>114291.909</v>
      </c>
      <c r="I80" s="8">
        <v>192583.06</v>
      </c>
      <c r="J80" s="8">
        <v>329506.47700000001</v>
      </c>
      <c r="K80" s="8">
        <v>269198.06699999998</v>
      </c>
      <c r="L80" s="8">
        <v>272669.30699999997</v>
      </c>
      <c r="M80" s="8"/>
      <c r="Q80" s="5"/>
      <c r="R80" s="5"/>
    </row>
    <row r="81" spans="1:18" x14ac:dyDescent="0.2">
      <c r="A81" s="43" t="s">
        <v>106</v>
      </c>
      <c r="B81" s="8"/>
      <c r="C81" s="8"/>
      <c r="D81" s="8"/>
      <c r="E81" s="8"/>
      <c r="F81" s="8"/>
      <c r="G81" s="8"/>
      <c r="H81" s="8"/>
      <c r="I81" s="8">
        <v>576.02800000000002</v>
      </c>
      <c r="J81" s="8">
        <v>860.66899999999998</v>
      </c>
      <c r="K81" s="8">
        <v>1056.6479999999999</v>
      </c>
      <c r="L81" s="8">
        <v>871.42499999999995</v>
      </c>
      <c r="M81" s="8"/>
      <c r="Q81" s="5"/>
      <c r="R81" s="5"/>
    </row>
    <row r="82" spans="1:18" x14ac:dyDescent="0.2">
      <c r="A82" s="43" t="s">
        <v>25</v>
      </c>
      <c r="B82" s="8">
        <v>404.37599999999998</v>
      </c>
      <c r="C82" s="8">
        <v>245.61600000000001</v>
      </c>
      <c r="D82" s="8">
        <v>240.35400000000001</v>
      </c>
      <c r="E82" s="8">
        <v>404.37599999999998</v>
      </c>
      <c r="F82" s="8">
        <v>480.404</v>
      </c>
      <c r="G82" s="8">
        <v>427.21</v>
      </c>
      <c r="H82" s="8">
        <v>397.46600000000001</v>
      </c>
      <c r="I82" s="8">
        <v>361.71499999999997</v>
      </c>
      <c r="J82" s="8">
        <f>529.143+280.357</f>
        <v>809.5</v>
      </c>
      <c r="K82" s="8">
        <f>440.351+236.444</f>
        <v>676.79499999999996</v>
      </c>
      <c r="L82" s="8">
        <f>398.239+187.004</f>
        <v>585.24299999999994</v>
      </c>
      <c r="M82" s="8"/>
      <c r="Q82" s="5"/>
      <c r="R82" s="5"/>
    </row>
    <row r="83" spans="1:18" x14ac:dyDescent="0.2">
      <c r="A83" s="43" t="s">
        <v>93</v>
      </c>
      <c r="B83" s="8"/>
      <c r="C83" s="8"/>
      <c r="D83" s="8"/>
      <c r="E83" s="8"/>
      <c r="F83" s="8"/>
      <c r="G83" s="8"/>
      <c r="H83" s="8"/>
      <c r="I83" s="8"/>
      <c r="J83" s="8">
        <v>106.61</v>
      </c>
      <c r="K83" s="8">
        <v>21.119</v>
      </c>
      <c r="L83" s="8">
        <v>0</v>
      </c>
      <c r="M83" s="8"/>
      <c r="Q83" s="5"/>
      <c r="R83" s="5"/>
    </row>
    <row r="84" spans="1:18" x14ac:dyDescent="0.2">
      <c r="A84" s="43" t="s">
        <v>94</v>
      </c>
      <c r="B84" s="8"/>
      <c r="C84" s="8"/>
      <c r="D84" s="8"/>
      <c r="E84" s="8"/>
      <c r="F84" s="8"/>
      <c r="G84" s="8"/>
      <c r="H84" s="8"/>
      <c r="I84" s="8"/>
      <c r="J84" s="8">
        <v>231.34800000000001</v>
      </c>
      <c r="K84" s="8">
        <v>223.12299999999999</v>
      </c>
      <c r="L84" s="8">
        <v>252.88499999999999</v>
      </c>
      <c r="M84" s="8"/>
      <c r="Q84" s="5"/>
      <c r="R84" s="5"/>
    </row>
    <row r="85" spans="1:18" x14ac:dyDescent="0.2">
      <c r="A85" s="43" t="s">
        <v>96</v>
      </c>
      <c r="B85" s="8">
        <v>60.441000000000003</v>
      </c>
      <c r="C85" s="8">
        <v>62.405999999999999</v>
      </c>
      <c r="D85" s="8">
        <v>60.521999999999998</v>
      </c>
      <c r="E85" s="8">
        <v>60.441000000000003</v>
      </c>
      <c r="F85" s="8">
        <v>67.947000000000003</v>
      </c>
      <c r="G85" s="8">
        <v>64.759</v>
      </c>
      <c r="H85" s="8">
        <v>69.727000000000004</v>
      </c>
      <c r="I85" s="8">
        <v>63.725999999999999</v>
      </c>
      <c r="J85" s="8">
        <v>0</v>
      </c>
      <c r="K85" s="8">
        <v>0</v>
      </c>
      <c r="L85" s="8">
        <v>0</v>
      </c>
      <c r="M85" s="8"/>
      <c r="Q85" s="5"/>
      <c r="R85" s="5"/>
    </row>
    <row r="86" spans="1:18" x14ac:dyDescent="0.2">
      <c r="A86" s="44" t="s">
        <v>90</v>
      </c>
      <c r="B86" s="8">
        <v>217.048</v>
      </c>
      <c r="C86" s="8">
        <v>146.46299999999999</v>
      </c>
      <c r="D86" s="8">
        <v>277.04399999999998</v>
      </c>
      <c r="E86" s="8">
        <v>217.048</v>
      </c>
      <c r="F86" s="8">
        <v>219.07499999999999</v>
      </c>
      <c r="G86" s="8">
        <v>175.399</v>
      </c>
      <c r="H86" s="8">
        <v>157.714</v>
      </c>
      <c r="I86" s="8">
        <v>148.81399999999999</v>
      </c>
      <c r="J86" s="8">
        <v>379.53699999999998</v>
      </c>
      <c r="K86" s="8">
        <v>253.226</v>
      </c>
      <c r="L86" s="8">
        <v>255.97499999999999</v>
      </c>
      <c r="M86" s="8"/>
      <c r="Q86" s="5"/>
      <c r="R86" s="5"/>
    </row>
    <row r="87" spans="1:18" x14ac:dyDescent="0.2">
      <c r="A87" s="45" t="s">
        <v>85</v>
      </c>
      <c r="B87" s="8">
        <f t="shared" ref="B87:L87" si="33">+SUM(B78:B86)</f>
        <v>86448.214999999997</v>
      </c>
      <c r="C87" s="8">
        <f t="shared" si="33"/>
        <v>102162.25000000001</v>
      </c>
      <c r="D87" s="8">
        <f t="shared" si="33"/>
        <v>107679.96699999999</v>
      </c>
      <c r="E87" s="8">
        <f t="shared" si="33"/>
        <v>86448.214999999997</v>
      </c>
      <c r="F87" s="8">
        <f t="shared" si="33"/>
        <v>135843.94500000001</v>
      </c>
      <c r="G87" s="8">
        <f t="shared" si="33"/>
        <v>134261.97099999999</v>
      </c>
      <c r="H87" s="8">
        <f t="shared" si="33"/>
        <v>123919.22200000001</v>
      </c>
      <c r="I87" s="8">
        <f t="shared" si="33"/>
        <v>203466.53099999999</v>
      </c>
      <c r="J87" s="8">
        <f t="shared" si="33"/>
        <v>343840.946</v>
      </c>
      <c r="K87" s="8">
        <f t="shared" si="33"/>
        <v>282886.63199999998</v>
      </c>
      <c r="L87" s="8">
        <f t="shared" si="33"/>
        <v>286425.56699999998</v>
      </c>
      <c r="M87" s="8"/>
      <c r="Q87" s="5"/>
      <c r="R87" s="5"/>
    </row>
    <row r="88" spans="1:18" x14ac:dyDescent="0.2">
      <c r="A88" s="44" t="s">
        <v>97</v>
      </c>
      <c r="B88" s="8">
        <v>424.39299999999997</v>
      </c>
      <c r="C88" s="8">
        <v>539.68299999999999</v>
      </c>
      <c r="D88" s="8">
        <v>623.07299999999998</v>
      </c>
      <c r="E88" s="8">
        <v>424.39299999999997</v>
      </c>
      <c r="F88" s="8">
        <v>514.50199999999995</v>
      </c>
      <c r="G88" s="8">
        <v>485.34699999999998</v>
      </c>
      <c r="H88" s="8">
        <v>455.98599999999999</v>
      </c>
      <c r="I88" s="8">
        <v>449.92500000000001</v>
      </c>
      <c r="J88" s="8">
        <v>1522.328</v>
      </c>
      <c r="K88" s="8">
        <v>1234.1579999999999</v>
      </c>
      <c r="L88" s="8">
        <v>1260.7180000000001</v>
      </c>
      <c r="M88" s="8"/>
      <c r="Q88" s="5"/>
      <c r="R88" s="5"/>
    </row>
    <row r="89" spans="1:18" x14ac:dyDescent="0.2">
      <c r="A89" s="44" t="s">
        <v>89</v>
      </c>
      <c r="B89" s="8">
        <v>0</v>
      </c>
      <c r="C89" s="8">
        <v>0</v>
      </c>
      <c r="D89" s="8">
        <v>0</v>
      </c>
      <c r="E89" s="8">
        <v>1046.7909999999999</v>
      </c>
      <c r="F89" s="8">
        <v>0</v>
      </c>
      <c r="G89" s="8">
        <v>0</v>
      </c>
      <c r="H89" s="8">
        <v>0</v>
      </c>
      <c r="I89" s="8">
        <v>1272.2329999999999</v>
      </c>
      <c r="J89" s="8">
        <v>879.67100000000005</v>
      </c>
      <c r="K89" s="8">
        <v>1010.154</v>
      </c>
      <c r="L89" s="8">
        <v>1032.9590000000001</v>
      </c>
      <c r="M89" s="8"/>
      <c r="Q89" s="5"/>
      <c r="R89" s="5"/>
    </row>
    <row r="90" spans="1:18" x14ac:dyDescent="0.2">
      <c r="A90" s="43" t="s">
        <v>86</v>
      </c>
      <c r="B90" s="8">
        <v>69.356999999999999</v>
      </c>
      <c r="C90" s="8">
        <v>85.971999999999994</v>
      </c>
      <c r="D90" s="8">
        <v>76.465000000000003</v>
      </c>
      <c r="E90" s="8">
        <v>69.356999999999999</v>
      </c>
      <c r="F90" s="8">
        <v>38.863999999999997</v>
      </c>
      <c r="G90" s="8">
        <v>18.21</v>
      </c>
      <c r="H90" s="8">
        <v>15.412000000000001</v>
      </c>
      <c r="I90" s="12">
        <v>12.737</v>
      </c>
      <c r="J90" s="12">
        <v>0</v>
      </c>
      <c r="K90" s="12">
        <v>0</v>
      </c>
      <c r="L90" s="12">
        <v>0</v>
      </c>
      <c r="M90" s="12"/>
      <c r="Q90" s="5"/>
      <c r="R90" s="5"/>
    </row>
    <row r="91" spans="1:18" x14ac:dyDescent="0.2">
      <c r="A91" s="7" t="s">
        <v>26</v>
      </c>
      <c r="B91" s="8">
        <v>171.85300000000001</v>
      </c>
      <c r="C91" s="8">
        <v>142.209</v>
      </c>
      <c r="D91" s="8">
        <v>170.922</v>
      </c>
      <c r="E91" s="8">
        <v>171.85300000000001</v>
      </c>
      <c r="F91" s="8">
        <v>172.84299999999999</v>
      </c>
      <c r="G91" s="8">
        <v>186.04599999999999</v>
      </c>
      <c r="H91" s="8">
        <v>202.274</v>
      </c>
      <c r="I91" s="8">
        <v>192.55</v>
      </c>
      <c r="J91" s="8">
        <v>0</v>
      </c>
      <c r="K91" s="8">
        <v>0</v>
      </c>
      <c r="L91" s="8">
        <v>0</v>
      </c>
      <c r="M91" s="8"/>
      <c r="Q91" s="5"/>
      <c r="R91" s="5"/>
    </row>
    <row r="92" spans="1:18" x14ac:dyDescent="0.2">
      <c r="A92" s="44" t="s">
        <v>88</v>
      </c>
      <c r="B92" s="8">
        <f>1073.906+135.42</f>
        <v>1209.326</v>
      </c>
      <c r="C92" s="8">
        <f>1073.906+189.508</f>
        <v>1263.414</v>
      </c>
      <c r="D92" s="8">
        <f>1073.906+161.669</f>
        <v>1235.575</v>
      </c>
      <c r="E92" s="8">
        <f>1073.906+135.429</f>
        <v>1209.335</v>
      </c>
      <c r="F92" s="8">
        <f>1139.67+129.692</f>
        <v>1269.3620000000001</v>
      </c>
      <c r="G92" s="8">
        <f>1139.67+108.134</f>
        <v>1247.8040000000001</v>
      </c>
      <c r="H92" s="8">
        <f>1139.67+94.935</f>
        <v>1234.605</v>
      </c>
      <c r="I92" s="8">
        <f>1139.67+86.422</f>
        <v>1226.0920000000001</v>
      </c>
      <c r="J92" s="8">
        <v>1139.67</v>
      </c>
      <c r="K92" s="8">
        <v>1139.67</v>
      </c>
      <c r="L92" s="8">
        <v>1139.67</v>
      </c>
      <c r="M92" s="8"/>
      <c r="Q92" s="5"/>
      <c r="R92" s="5"/>
    </row>
    <row r="93" spans="1:18" x14ac:dyDescent="0.2">
      <c r="A93" s="43" t="s">
        <v>91</v>
      </c>
      <c r="B93" s="8">
        <v>1401.72</v>
      </c>
      <c r="C93" s="8">
        <v>1274.7149999999999</v>
      </c>
      <c r="D93" s="8">
        <v>1382.3610000000001</v>
      </c>
      <c r="E93" s="8">
        <v>354.92899999999997</v>
      </c>
      <c r="F93" s="8">
        <v>1462.3430000000001</v>
      </c>
      <c r="G93" s="8">
        <v>1451.1969999999999</v>
      </c>
      <c r="H93" s="8">
        <v>1478.096</v>
      </c>
      <c r="I93" s="8">
        <v>362.88499999999999</v>
      </c>
      <c r="J93" s="8">
        <v>653.86199999999997</v>
      </c>
      <c r="K93" s="8">
        <v>688.55899999999997</v>
      </c>
      <c r="L93" s="8">
        <v>699.69399999999996</v>
      </c>
      <c r="M93" s="8"/>
      <c r="Q93" s="5"/>
      <c r="R93" s="5"/>
    </row>
    <row r="94" spans="1:18" x14ac:dyDescent="0.2">
      <c r="A94" s="7" t="s">
        <v>32</v>
      </c>
      <c r="B94" s="8">
        <f>+SUM(B89:B93)+B87</f>
        <v>89300.47099999999</v>
      </c>
      <c r="C94" s="8">
        <f t="shared" ref="C94:H94" si="34">+SUM(C89:C93)+C87</f>
        <v>104928.56000000001</v>
      </c>
      <c r="D94" s="8">
        <f t="shared" si="34"/>
        <v>110545.29</v>
      </c>
      <c r="E94" s="8">
        <f t="shared" si="34"/>
        <v>89300.479999999996</v>
      </c>
      <c r="F94" s="8">
        <f t="shared" si="34"/>
        <v>138787.35700000002</v>
      </c>
      <c r="G94" s="8">
        <f t="shared" si="34"/>
        <v>137165.228</v>
      </c>
      <c r="H94" s="8">
        <f t="shared" si="34"/>
        <v>126849.60900000001</v>
      </c>
      <c r="I94" s="8">
        <f>+SUM(I87:I93)</f>
        <v>206982.95299999998</v>
      </c>
      <c r="J94" s="8">
        <f>+SUM(J87:J93)</f>
        <v>348036.47699999996</v>
      </c>
      <c r="K94" s="8">
        <f>+SUM(K87:K93)</f>
        <v>286959.17299999995</v>
      </c>
      <c r="L94" s="8">
        <f>+SUM(L87:L93)</f>
        <v>290558.60799999995</v>
      </c>
      <c r="M94" s="8"/>
      <c r="Q94" s="5"/>
      <c r="R94" s="5"/>
    </row>
    <row r="95" spans="1:18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Q95" s="5"/>
      <c r="R95" s="5"/>
    </row>
    <row r="96" spans="1:18" x14ac:dyDescent="0.2">
      <c r="A96" s="43" t="s">
        <v>84</v>
      </c>
      <c r="B96" s="8">
        <v>4829.5870000000004</v>
      </c>
      <c r="C96" s="8">
        <v>7071.5569999999998</v>
      </c>
      <c r="D96" s="8">
        <v>6357.6570000000002</v>
      </c>
      <c r="E96" s="8">
        <v>4829.5870000000004</v>
      </c>
      <c r="F96" s="8">
        <v>5365.6580000000004</v>
      </c>
      <c r="G96" s="8">
        <v>3848.078</v>
      </c>
      <c r="H96" s="8">
        <v>3474.489</v>
      </c>
      <c r="I96" s="8">
        <v>4570.8450000000003</v>
      </c>
      <c r="J96" s="8">
        <v>5201.9059999999999</v>
      </c>
      <c r="K96" s="8">
        <v>4197.8370000000004</v>
      </c>
      <c r="L96" s="8">
        <v>4035.0450000000001</v>
      </c>
      <c r="M96" s="8"/>
      <c r="Q96" s="5"/>
      <c r="R96" s="5"/>
    </row>
    <row r="97" spans="1:18" x14ac:dyDescent="0.2">
      <c r="A97" s="43" t="s">
        <v>83</v>
      </c>
      <c r="B97" s="8">
        <v>75413.187999999995</v>
      </c>
      <c r="C97" s="8">
        <v>88453.873000000007</v>
      </c>
      <c r="D97" s="8">
        <v>95113.123999999996</v>
      </c>
      <c r="E97" s="8">
        <v>75413.187999999995</v>
      </c>
      <c r="F97" s="8">
        <v>124357.889</v>
      </c>
      <c r="G97" s="8">
        <v>124243.587</v>
      </c>
      <c r="H97" s="8">
        <v>114291.909</v>
      </c>
      <c r="I97" s="8">
        <v>192583.06</v>
      </c>
      <c r="J97" s="8">
        <v>329506.47700000001</v>
      </c>
      <c r="K97" s="8">
        <v>269198.06699999998</v>
      </c>
      <c r="L97" s="8">
        <v>272669.30699999997</v>
      </c>
      <c r="M97" s="8"/>
      <c r="Q97" s="5"/>
      <c r="R97" s="5"/>
    </row>
    <row r="98" spans="1:18" x14ac:dyDescent="0.2">
      <c r="A98" s="7" t="s">
        <v>27</v>
      </c>
      <c r="B98" s="8">
        <v>56.042999999999999</v>
      </c>
      <c r="C98" s="8">
        <v>40.744999999999997</v>
      </c>
      <c r="D98" s="8">
        <v>61.514000000000003</v>
      </c>
      <c r="E98" s="8">
        <v>56.042999999999999</v>
      </c>
      <c r="F98" s="8">
        <v>23.693999999999999</v>
      </c>
      <c r="G98" s="8">
        <v>27.983000000000001</v>
      </c>
      <c r="H98" s="8">
        <v>36.744</v>
      </c>
      <c r="I98" s="8">
        <v>39.293999999999997</v>
      </c>
      <c r="J98" s="8">
        <v>0</v>
      </c>
      <c r="K98" s="8">
        <v>0</v>
      </c>
      <c r="L98" s="8">
        <v>0</v>
      </c>
      <c r="M98" s="8"/>
      <c r="Q98" s="5"/>
      <c r="R98" s="5"/>
    </row>
    <row r="99" spans="1:18" x14ac:dyDescent="0.2">
      <c r="A99" s="43" t="s">
        <v>95</v>
      </c>
      <c r="B99" s="8">
        <v>151.505</v>
      </c>
      <c r="C99" s="8">
        <v>136.548</v>
      </c>
      <c r="D99" s="8">
        <v>209.678</v>
      </c>
      <c r="E99" s="8">
        <v>151.505</v>
      </c>
      <c r="F99" s="8">
        <v>167.82300000000001</v>
      </c>
      <c r="G99" s="8">
        <v>144.50299999999999</v>
      </c>
      <c r="H99" s="8">
        <v>109.255</v>
      </c>
      <c r="I99" s="8">
        <v>62.98</v>
      </c>
      <c r="J99" s="8">
        <v>272.80500000000001</v>
      </c>
      <c r="K99" s="8">
        <v>237.47399999999999</v>
      </c>
      <c r="L99" s="8">
        <v>265.25900000000001</v>
      </c>
      <c r="M99" s="8"/>
      <c r="Q99" s="5"/>
      <c r="R99" s="5"/>
    </row>
    <row r="100" spans="1:18" x14ac:dyDescent="0.2">
      <c r="A100" s="43" t="s">
        <v>86</v>
      </c>
      <c r="B100" s="8">
        <v>33.734000000000002</v>
      </c>
      <c r="C100" s="8">
        <v>34.173999999999999</v>
      </c>
      <c r="D100" s="8">
        <v>33.024999999999999</v>
      </c>
      <c r="E100" s="8">
        <v>33.734000000000002</v>
      </c>
      <c r="F100" s="8">
        <v>12.776</v>
      </c>
      <c r="G100" s="8">
        <v>12.35</v>
      </c>
      <c r="H100" s="8">
        <v>12.015000000000001</v>
      </c>
      <c r="I100" s="8">
        <v>10.901999999999999</v>
      </c>
      <c r="J100" s="8">
        <v>0</v>
      </c>
      <c r="K100" s="8">
        <v>0</v>
      </c>
      <c r="L100" s="8">
        <v>0</v>
      </c>
      <c r="M100" s="8"/>
      <c r="Q100" s="5"/>
      <c r="R100" s="5"/>
    </row>
    <row r="101" spans="1:18" x14ac:dyDescent="0.2">
      <c r="A101" s="47" t="s">
        <v>98</v>
      </c>
      <c r="G101" s="2">
        <v>0</v>
      </c>
      <c r="H101" s="2">
        <v>0</v>
      </c>
      <c r="I101" s="2">
        <v>0</v>
      </c>
      <c r="J101" s="52">
        <v>315.08999999999997</v>
      </c>
      <c r="K101" s="52">
        <v>272.17099999999999</v>
      </c>
      <c r="L101" s="2">
        <v>118.224</v>
      </c>
    </row>
    <row r="102" spans="1:18" x14ac:dyDescent="0.2">
      <c r="A102" s="7" t="s">
        <v>28</v>
      </c>
      <c r="B102" s="8">
        <v>331.23599999999999</v>
      </c>
      <c r="C102" s="8">
        <v>457.399</v>
      </c>
      <c r="D102" s="8">
        <v>298.101</v>
      </c>
      <c r="E102" s="8">
        <v>331.23599999999999</v>
      </c>
      <c r="F102" s="8">
        <v>274.983</v>
      </c>
      <c r="G102" s="8">
        <v>262.25099999999998</v>
      </c>
      <c r="H102" s="8">
        <v>374.37400000000002</v>
      </c>
      <c r="I102" s="8">
        <v>447.05</v>
      </c>
      <c r="J102" s="8">
        <v>438.32100000000003</v>
      </c>
      <c r="K102" s="8">
        <v>448.17</v>
      </c>
      <c r="L102" s="8">
        <v>500.60300000000001</v>
      </c>
      <c r="M102" s="8"/>
      <c r="Q102" s="5"/>
      <c r="R102" s="5"/>
    </row>
    <row r="103" spans="1:18" x14ac:dyDescent="0.2">
      <c r="A103" s="46" t="s">
        <v>87</v>
      </c>
      <c r="B103" s="8">
        <f t="shared" ref="B103:I103" si="35">+SUM(B96:B102)</f>
        <v>80815.293000000005</v>
      </c>
      <c r="C103" s="8">
        <f t="shared" si="35"/>
        <v>96194.296000000002</v>
      </c>
      <c r="D103" s="8">
        <f t="shared" si="35"/>
        <v>102073.09899999999</v>
      </c>
      <c r="E103" s="8">
        <f t="shared" si="35"/>
        <v>80815.293000000005</v>
      </c>
      <c r="F103" s="8">
        <f t="shared" si="35"/>
        <v>130202.82299999999</v>
      </c>
      <c r="G103" s="8">
        <f t="shared" si="35"/>
        <v>128538.75199999999</v>
      </c>
      <c r="H103" s="8">
        <f t="shared" si="35"/>
        <v>118298.78600000001</v>
      </c>
      <c r="I103" s="8">
        <f t="shared" si="35"/>
        <v>197714.13099999999</v>
      </c>
      <c r="J103" s="8">
        <f>+SUM(J96:J102)</f>
        <v>335734.59900000005</v>
      </c>
      <c r="K103" s="8">
        <f>+SUM(K96:K102)</f>
        <v>274353.71899999992</v>
      </c>
      <c r="L103" s="8">
        <f>+SUM(L96:L102)</f>
        <v>277588.43799999997</v>
      </c>
      <c r="M103" s="8"/>
      <c r="Q103" s="5"/>
      <c r="R103" s="5"/>
    </row>
    <row r="104" spans="1:18" x14ac:dyDescent="0.2">
      <c r="A104" s="43" t="s">
        <v>86</v>
      </c>
      <c r="B104" s="8">
        <v>42.043999999999997</v>
      </c>
      <c r="C104" s="8">
        <v>59.317</v>
      </c>
      <c r="D104" s="8">
        <v>50.167000000000002</v>
      </c>
      <c r="E104" s="8">
        <v>42.043999999999997</v>
      </c>
      <c r="F104" s="8">
        <v>11.289</v>
      </c>
      <c r="G104" s="8">
        <v>8.6110000000000007</v>
      </c>
      <c r="H104" s="8">
        <v>5.69</v>
      </c>
      <c r="I104" s="8">
        <v>3.8210000000000002</v>
      </c>
      <c r="J104" s="8">
        <v>0</v>
      </c>
      <c r="K104" s="8">
        <v>0</v>
      </c>
      <c r="L104" s="8">
        <v>0</v>
      </c>
      <c r="M104" s="8"/>
      <c r="N104" s="5"/>
      <c r="Q104" s="5"/>
      <c r="R104" s="5"/>
    </row>
    <row r="105" spans="1:18" x14ac:dyDescent="0.2">
      <c r="A105" s="7" t="s">
        <v>23</v>
      </c>
      <c r="B105" s="8">
        <v>3393.4479999999999</v>
      </c>
      <c r="C105" s="8">
        <v>3389.0329999999999</v>
      </c>
      <c r="D105" s="8">
        <v>3391.2370000000001</v>
      </c>
      <c r="E105" s="8">
        <v>3393.4479999999999</v>
      </c>
      <c r="F105" s="8">
        <v>3395.6129999999998</v>
      </c>
      <c r="G105" s="8">
        <v>3334.2570000000001</v>
      </c>
      <c r="H105" s="8">
        <v>3076.5990000000002</v>
      </c>
      <c r="I105" s="8">
        <v>2979.9569999999999</v>
      </c>
      <c r="J105" s="8">
        <v>4225.0140000000001</v>
      </c>
      <c r="K105" s="8">
        <v>4228.0190000000002</v>
      </c>
      <c r="L105" s="8">
        <v>4231.0469999999996</v>
      </c>
      <c r="M105" s="8"/>
      <c r="N105" s="5"/>
      <c r="Q105" s="5"/>
      <c r="R105" s="5"/>
    </row>
    <row r="106" spans="1:18" x14ac:dyDescent="0.2">
      <c r="A106" s="43" t="s">
        <v>92</v>
      </c>
      <c r="B106" s="8">
        <v>19.530999999999999</v>
      </c>
      <c r="C106" s="8">
        <v>12.208</v>
      </c>
      <c r="D106" s="8">
        <v>27.545000000000002</v>
      </c>
      <c r="E106" s="8">
        <v>19.530999999999999</v>
      </c>
      <c r="F106" s="8">
        <v>17.187999999999999</v>
      </c>
      <c r="G106" s="8">
        <v>14.252000000000001</v>
      </c>
      <c r="H106" s="8">
        <v>3.395</v>
      </c>
      <c r="I106" s="8">
        <v>3.395</v>
      </c>
      <c r="J106" s="8">
        <v>5.87</v>
      </c>
      <c r="K106" s="8">
        <v>6.6660000000000004</v>
      </c>
      <c r="L106" s="8">
        <v>11.000999999999999</v>
      </c>
      <c r="M106" s="8"/>
      <c r="Q106" s="5"/>
      <c r="R106" s="5"/>
    </row>
    <row r="107" spans="1:18" x14ac:dyDescent="0.2">
      <c r="A107" s="7" t="s">
        <v>29</v>
      </c>
      <c r="B107" s="8">
        <f>+SUM(B104:B106)+B103</f>
        <v>84270.316000000006</v>
      </c>
      <c r="C107" s="8">
        <f t="shared" ref="C107:I107" si="36">+SUM(C104:C106)+C103</f>
        <v>99654.854000000007</v>
      </c>
      <c r="D107" s="8">
        <f t="shared" si="36"/>
        <v>105542.04799999998</v>
      </c>
      <c r="E107" s="8">
        <f t="shared" si="36"/>
        <v>84270.316000000006</v>
      </c>
      <c r="F107" s="8">
        <f t="shared" si="36"/>
        <v>133626.913</v>
      </c>
      <c r="G107" s="8">
        <f t="shared" si="36"/>
        <v>131895.872</v>
      </c>
      <c r="H107" s="8">
        <f t="shared" si="36"/>
        <v>121384.47</v>
      </c>
      <c r="I107" s="8">
        <f t="shared" si="36"/>
        <v>200701.304</v>
      </c>
      <c r="J107" s="8">
        <f>+SUM(J104:J106)+J103</f>
        <v>339965.48300000007</v>
      </c>
      <c r="K107" s="8">
        <f>+SUM(K104:K106)+K103</f>
        <v>278588.40399999992</v>
      </c>
      <c r="L107" s="8">
        <f>+SUM(L104:L106)+L103</f>
        <v>281830.48599999998</v>
      </c>
      <c r="M107" s="8"/>
      <c r="Q107" s="5"/>
      <c r="R107" s="5"/>
    </row>
    <row r="108" spans="1:18" x14ac:dyDescent="0.2">
      <c r="A108" s="7" t="s">
        <v>30</v>
      </c>
      <c r="B108" s="8">
        <f t="shared" ref="B108:J108" si="37">+B94-B107</f>
        <v>5030.1549999999843</v>
      </c>
      <c r="C108" s="8">
        <f t="shared" si="37"/>
        <v>5273.7060000000056</v>
      </c>
      <c r="D108" s="8">
        <f t="shared" si="37"/>
        <v>5003.2420000000129</v>
      </c>
      <c r="E108" s="8">
        <f t="shared" si="37"/>
        <v>5030.1639999999898</v>
      </c>
      <c r="F108" s="8">
        <f t="shared" si="37"/>
        <v>5160.4440000000177</v>
      </c>
      <c r="G108" s="8">
        <f t="shared" si="37"/>
        <v>5269.3559999999998</v>
      </c>
      <c r="H108" s="8">
        <f t="shared" si="37"/>
        <v>5465.1390000000101</v>
      </c>
      <c r="I108" s="8">
        <f t="shared" si="37"/>
        <v>6281.6489999999758</v>
      </c>
      <c r="J108" s="8">
        <f t="shared" si="37"/>
        <v>8070.9939999998896</v>
      </c>
      <c r="K108" s="8">
        <v>8370.7690000000002</v>
      </c>
      <c r="L108" s="8">
        <v>8728.1219999999994</v>
      </c>
      <c r="M108" s="8"/>
      <c r="Q108" s="5"/>
      <c r="R108" s="5"/>
    </row>
    <row r="109" spans="1:18" x14ac:dyDescent="0.2">
      <c r="A109" s="7" t="s">
        <v>31</v>
      </c>
      <c r="B109" s="8">
        <f t="shared" ref="B109:I109" si="38">+B107+B108</f>
        <v>89300.47099999999</v>
      </c>
      <c r="C109" s="8">
        <f>+C107+C108</f>
        <v>104928.56000000001</v>
      </c>
      <c r="D109" s="8">
        <f t="shared" si="38"/>
        <v>110545.29</v>
      </c>
      <c r="E109" s="8">
        <f t="shared" si="38"/>
        <v>89300.479999999996</v>
      </c>
      <c r="F109" s="8">
        <f t="shared" si="38"/>
        <v>138787.35700000002</v>
      </c>
      <c r="G109" s="8">
        <f t="shared" si="38"/>
        <v>137165.228</v>
      </c>
      <c r="H109" s="8">
        <f t="shared" si="38"/>
        <v>126849.60900000001</v>
      </c>
      <c r="I109" s="8">
        <f t="shared" si="38"/>
        <v>206982.95299999998</v>
      </c>
      <c r="J109" s="8">
        <f t="shared" ref="J109" si="39">+J107+J108</f>
        <v>348036.47699999996</v>
      </c>
      <c r="K109" s="8">
        <f>+K107+K108</f>
        <v>286959.17299999995</v>
      </c>
      <c r="L109" s="8">
        <f>+L107+L108</f>
        <v>290558.60799999995</v>
      </c>
      <c r="M109" s="8"/>
      <c r="Q109" s="5"/>
      <c r="R109" s="5"/>
    </row>
    <row r="110" spans="1:18" x14ac:dyDescent="0.2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Q110" s="5"/>
      <c r="R110" s="5"/>
    </row>
    <row r="111" spans="1:18" x14ac:dyDescent="0.2">
      <c r="A111" s="43" t="s">
        <v>105</v>
      </c>
      <c r="B111" s="8"/>
      <c r="C111" s="8"/>
      <c r="D111" s="8"/>
      <c r="E111" s="8">
        <f t="shared" ref="E111:K111" si="40">+SUM(B59:E59)</f>
        <v>-1788.4419999999998</v>
      </c>
      <c r="F111" s="8">
        <f t="shared" si="40"/>
        <v>-1601.625</v>
      </c>
      <c r="G111" s="8">
        <f t="shared" si="40"/>
        <v>-1100.5019999999997</v>
      </c>
      <c r="H111" s="8">
        <f t="shared" si="40"/>
        <v>-659.04399999999987</v>
      </c>
      <c r="I111" s="8">
        <f t="shared" si="40"/>
        <v>246.05000000000004</v>
      </c>
      <c r="J111" s="8">
        <f t="shared" si="40"/>
        <v>673.56500000000028</v>
      </c>
      <c r="K111" s="8">
        <f t="shared" si="40"/>
        <v>1240.7630000000001</v>
      </c>
      <c r="L111" s="8">
        <f>+SUM(I59:L59)</f>
        <v>1471.6440000000002</v>
      </c>
      <c r="M111" s="8"/>
      <c r="Q111" s="5"/>
      <c r="R111" s="5"/>
    </row>
    <row r="112" spans="1:18" s="28" customFormat="1" x14ac:dyDescent="0.2">
      <c r="A112" s="43" t="s">
        <v>107</v>
      </c>
      <c r="E112" s="51">
        <f t="shared" ref="E112:H112" si="41">+E111/(E79+E80+E82+E83+E84+E85+E86+E88+E89+E90+E91+E93)</f>
        <v>-2.1494794179018558E-2</v>
      </c>
      <c r="F112" s="51">
        <f t="shared" si="41"/>
        <v>-1.2070925377318872E-2</v>
      </c>
      <c r="G112" s="51">
        <f t="shared" si="41"/>
        <v>-8.4072070588508668E-3</v>
      </c>
      <c r="H112" s="51">
        <f t="shared" si="41"/>
        <v>-5.4672905178051977E-3</v>
      </c>
      <c r="I112" s="51">
        <f>+I111/(I79+I80+I81+I82+I83+I84+I85+I86+I88+I89+I90+I91+I93)</f>
        <v>1.2266038097810831E-3</v>
      </c>
      <c r="J112" s="51">
        <f>+J111/(J79+J80+J81+J82+J83+J84+J85+J86+J88+J89+J90+J91+J93)</f>
        <v>1.9801888043503206E-3</v>
      </c>
      <c r="K112" s="51">
        <f>+K111/(K79+K80+K81+K82+K83+K84+K85+K86+K88+K89+K90+K91+K93)</f>
        <v>4.4542087831043872E-3</v>
      </c>
      <c r="L112" s="51">
        <f>+L111/(L79+L80+L81+L82+L83+L84+L85+L86+L88+L89+L90+L91+L93)</f>
        <v>5.2248349572589451E-3</v>
      </c>
    </row>
    <row r="113" spans="1:18" s="8" customFormat="1" x14ac:dyDescent="0.2">
      <c r="A113" s="53"/>
      <c r="L113" s="8">
        <f>+SUM(L79+L80+L81+L82+L83+L84+L85+L86+L88+L89+L90+L91+L93)</f>
        <v>281663.25099999993</v>
      </c>
    </row>
    <row r="114" spans="1:18" x14ac:dyDescent="0.2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>
        <f>+L113/L61</f>
        <v>1053.182960664074</v>
      </c>
      <c r="M114" s="8"/>
      <c r="Q114" s="5"/>
      <c r="R114" s="5"/>
    </row>
    <row r="115" spans="1:18" x14ac:dyDescent="0.2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Q115" s="5"/>
      <c r="R115" s="5"/>
    </row>
    <row r="116" spans="1:18" s="8" customFormat="1" x14ac:dyDescent="0.2">
      <c r="A116" s="59" t="s">
        <v>100</v>
      </c>
      <c r="F116" s="8">
        <v>198.86</v>
      </c>
      <c r="G116" s="8">
        <f>398.632-F116</f>
        <v>199.77199999999999</v>
      </c>
      <c r="H116" s="8">
        <f>616.785-SUM(F116:G116)</f>
        <v>218.15299999999996</v>
      </c>
      <c r="I116" s="8">
        <f>780.668-SUM(F116:H116)</f>
        <v>163.88300000000004</v>
      </c>
      <c r="J116" s="8">
        <v>224.50399999999999</v>
      </c>
      <c r="K116" s="8">
        <f>442.438-J116</f>
        <v>217.934</v>
      </c>
      <c r="L116" s="8">
        <f>690.854-SUM(J116:K116)</f>
        <v>248.41600000000005</v>
      </c>
    </row>
    <row r="117" spans="1:18" s="8" customFormat="1" x14ac:dyDescent="0.2">
      <c r="A117" s="44" t="s">
        <v>101</v>
      </c>
      <c r="F117" s="8">
        <v>463.07799999999997</v>
      </c>
      <c r="G117" s="8">
        <f>614.202-F117</f>
        <v>151.12400000000002</v>
      </c>
      <c r="H117" s="8">
        <f>928.137-SUM(F117:G117)</f>
        <v>313.93499999999995</v>
      </c>
      <c r="I117" s="8">
        <f>922.951-SUM(F117:H117)</f>
        <v>-5.1859999999999218</v>
      </c>
      <c r="J117" s="8">
        <v>411.48500000000001</v>
      </c>
      <c r="K117" s="8">
        <f>895.682-J117</f>
        <v>484.197</v>
      </c>
      <c r="L117" s="8">
        <f>1592.226-SUM(J117:K117)</f>
        <v>696.5440000000001</v>
      </c>
    </row>
    <row r="118" spans="1:18" s="8" customFormat="1" x14ac:dyDescent="0.2">
      <c r="A118" s="59"/>
    </row>
    <row r="119" spans="1:18" s="8" customFormat="1" x14ac:dyDescent="0.2">
      <c r="A119" s="44" t="s">
        <v>102</v>
      </c>
      <c r="F119" s="8">
        <f t="shared" ref="F119:I119" si="42">+F117-F116</f>
        <v>264.21799999999996</v>
      </c>
      <c r="G119" s="8">
        <f t="shared" si="42"/>
        <v>-48.647999999999968</v>
      </c>
      <c r="H119" s="8">
        <f t="shared" si="42"/>
        <v>95.781999999999982</v>
      </c>
      <c r="I119" s="8">
        <f t="shared" si="42"/>
        <v>-169.06899999999996</v>
      </c>
      <c r="J119" s="8">
        <f>+J117-J116</f>
        <v>186.98100000000002</v>
      </c>
      <c r="K119" s="8">
        <f>+K117-K116</f>
        <v>266.26300000000003</v>
      </c>
      <c r="L119" s="8">
        <f>+L117-L116</f>
        <v>448.12800000000004</v>
      </c>
    </row>
    <row r="120" spans="1:18" s="8" customFormat="1" x14ac:dyDescent="0.2">
      <c r="A120" s="45" t="s">
        <v>103</v>
      </c>
      <c r="J120" s="8">
        <f t="shared" ref="J120:K120" si="43">+SUM(G119:J119)</f>
        <v>65.046000000000078</v>
      </c>
      <c r="K120" s="8">
        <f t="shared" si="43"/>
        <v>379.95700000000011</v>
      </c>
      <c r="L120" s="8">
        <f>+SUM(I119:L119)</f>
        <v>732.30300000000011</v>
      </c>
    </row>
    <row r="121" spans="1:18" s="8" customFormat="1" x14ac:dyDescent="0.2"/>
    <row r="122" spans="1:18" s="8" customFormat="1" x14ac:dyDescent="0.2"/>
    <row r="123" spans="1:18" s="8" customFormat="1" x14ac:dyDescent="0.2">
      <c r="A123" s="41" t="s">
        <v>80</v>
      </c>
      <c r="F123" s="8">
        <v>3535</v>
      </c>
      <c r="G123" s="8">
        <v>3406</v>
      </c>
      <c r="H123" s="8">
        <v>3427</v>
      </c>
      <c r="I123" s="8">
        <v>3416</v>
      </c>
      <c r="J123" s="8">
        <v>3416</v>
      </c>
    </row>
  </sheetData>
  <pageMargins left="0.7" right="0.7" top="0.75" bottom="0.75" header="0.3" footer="0.3"/>
  <pageSetup paperSize="9" orientation="portrait" r:id="rId1"/>
  <ignoredErrors>
    <ignoredError sqref="E57 I5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2024-02-16T12:23:06Z</dcterms:created>
  <dcterms:modified xsi:type="dcterms:W3CDTF">2025-01-08T17:07:00Z</dcterms:modified>
</cp:coreProperties>
</file>