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Cybersecurities\"/>
    </mc:Choice>
  </mc:AlternateContent>
  <xr:revisionPtr revIDLastSave="0" documentId="13_ncr:1_{360A9CFE-3DEE-4398-8B4B-62DEE2F5EC2D}" xr6:coauthVersionLast="47" xr6:coauthVersionMax="47" xr10:uidLastSave="{00000000-0000-0000-0000-000000000000}"/>
  <bookViews>
    <workbookView xWindow="28680" yWindow="-120" windowWidth="29040" windowHeight="15840" xr2:uid="{72718BB4-ACCD-42EB-91CC-FBE7B49CF31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2" l="1"/>
  <c r="U19" i="2"/>
  <c r="T19" i="2"/>
  <c r="S19" i="2"/>
  <c r="T20" i="2"/>
  <c r="U20" i="2" s="1"/>
  <c r="V20" i="2" s="1"/>
  <c r="S20" i="2"/>
  <c r="J10" i="1"/>
  <c r="W7" i="2"/>
  <c r="X7" i="2" s="1"/>
  <c r="AF26" i="2"/>
  <c r="J8" i="1"/>
  <c r="J6" i="1"/>
  <c r="I32" i="2"/>
  <c r="R32" i="2" s="1"/>
  <c r="S15" i="2" s="1"/>
  <c r="J5" i="1"/>
  <c r="V23" i="2"/>
  <c r="U23" i="2"/>
  <c r="T23" i="2"/>
  <c r="V22" i="2"/>
  <c r="U22" i="2"/>
  <c r="T22" i="2"/>
  <c r="U8" i="2"/>
  <c r="U9" i="2" s="1"/>
  <c r="T8" i="2"/>
  <c r="T9" i="2"/>
  <c r="V27" i="2"/>
  <c r="U27" i="2"/>
  <c r="T27" i="2"/>
  <c r="U12" i="2"/>
  <c r="V12" i="2" s="1"/>
  <c r="W12" i="2" s="1"/>
  <c r="X12" i="2" s="1"/>
  <c r="Y12" i="2" s="1"/>
  <c r="Z12" i="2" s="1"/>
  <c r="AA12" i="2" s="1"/>
  <c r="AB12" i="2" s="1"/>
  <c r="AC12" i="2" s="1"/>
  <c r="U11" i="2"/>
  <c r="V11" i="2" s="1"/>
  <c r="W11" i="2" s="1"/>
  <c r="X11" i="2" s="1"/>
  <c r="Y11" i="2" s="1"/>
  <c r="Z11" i="2" s="1"/>
  <c r="AA11" i="2" s="1"/>
  <c r="AB11" i="2" s="1"/>
  <c r="AC11" i="2" s="1"/>
  <c r="U10" i="2"/>
  <c r="V10" i="2" s="1"/>
  <c r="W10" i="2" s="1"/>
  <c r="X10" i="2" s="1"/>
  <c r="Y10" i="2" s="1"/>
  <c r="Z10" i="2" s="1"/>
  <c r="AA10" i="2" s="1"/>
  <c r="AB10" i="2" s="1"/>
  <c r="AC10" i="2" s="1"/>
  <c r="T12" i="2"/>
  <c r="T11" i="2"/>
  <c r="T10" i="2"/>
  <c r="S10" i="2"/>
  <c r="S11" i="2"/>
  <c r="S12" i="2"/>
  <c r="V7" i="2"/>
  <c r="U7" i="2"/>
  <c r="T7" i="2"/>
  <c r="Q30" i="2"/>
  <c r="P30" i="2"/>
  <c r="Q29" i="2"/>
  <c r="P29" i="2"/>
  <c r="Q28" i="2"/>
  <c r="P28" i="2"/>
  <c r="R30" i="2"/>
  <c r="R29" i="2"/>
  <c r="R28" i="2"/>
  <c r="S22" i="2"/>
  <c r="S27" i="2"/>
  <c r="L10" i="2"/>
  <c r="M10" i="2" s="1"/>
  <c r="K10" i="2"/>
  <c r="L11" i="2"/>
  <c r="K11" i="2"/>
  <c r="J10" i="2"/>
  <c r="M30" i="2"/>
  <c r="L30" i="2"/>
  <c r="K30" i="2"/>
  <c r="J30" i="2"/>
  <c r="K29" i="2"/>
  <c r="J29" i="2"/>
  <c r="K8" i="2"/>
  <c r="L8" i="2" s="1"/>
  <c r="M8" i="2" s="1"/>
  <c r="J8" i="2"/>
  <c r="K7" i="2"/>
  <c r="L7" i="2" s="1"/>
  <c r="M7" i="2" s="1"/>
  <c r="J7" i="2"/>
  <c r="J27" i="2" s="1"/>
  <c r="K12" i="2"/>
  <c r="L12" i="2" s="1"/>
  <c r="M12" i="2" s="1"/>
  <c r="J12" i="2"/>
  <c r="J11" i="2"/>
  <c r="H30" i="2"/>
  <c r="G30" i="2"/>
  <c r="F30" i="2"/>
  <c r="H29" i="2"/>
  <c r="G29" i="2"/>
  <c r="F29" i="2"/>
  <c r="H28" i="2"/>
  <c r="G28" i="2"/>
  <c r="F28" i="2"/>
  <c r="I30" i="2"/>
  <c r="I29" i="2"/>
  <c r="I28" i="2"/>
  <c r="R13" i="2"/>
  <c r="R7" i="2"/>
  <c r="R9" i="2" s="1"/>
  <c r="Q13" i="2"/>
  <c r="Q7" i="2"/>
  <c r="Q9" i="2" s="1"/>
  <c r="P13" i="2"/>
  <c r="P7" i="2"/>
  <c r="P9" i="2" s="1"/>
  <c r="O13" i="2"/>
  <c r="O7" i="2"/>
  <c r="O9" i="2" s="1"/>
  <c r="P3" i="2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I13" i="2"/>
  <c r="I7" i="2"/>
  <c r="I9" i="2" s="1"/>
  <c r="H13" i="2"/>
  <c r="H7" i="2"/>
  <c r="H9" i="2" s="1"/>
  <c r="G13" i="2"/>
  <c r="G7" i="2"/>
  <c r="G9" i="2" s="1"/>
  <c r="F13" i="2"/>
  <c r="F7" i="2"/>
  <c r="F9" i="2" s="1"/>
  <c r="F22" i="2" s="1"/>
  <c r="E13" i="2"/>
  <c r="E7" i="2"/>
  <c r="D13" i="2"/>
  <c r="D7" i="2"/>
  <c r="D9" i="2" s="1"/>
  <c r="C7" i="2"/>
  <c r="C9" i="2" s="1"/>
  <c r="C13" i="2"/>
  <c r="B13" i="2"/>
  <c r="B7" i="2"/>
  <c r="B9" i="2" s="1"/>
  <c r="B22" i="2" s="1"/>
  <c r="X27" i="2" l="1"/>
  <c r="Y7" i="2"/>
  <c r="Y27" i="2" s="1"/>
  <c r="W27" i="2"/>
  <c r="J15" i="2"/>
  <c r="W9" i="2"/>
  <c r="W22" i="2" s="1"/>
  <c r="V8" i="2"/>
  <c r="W8" i="2" s="1"/>
  <c r="X8" i="2" s="1"/>
  <c r="S28" i="2"/>
  <c r="S30" i="2"/>
  <c r="U13" i="2"/>
  <c r="S29" i="2"/>
  <c r="Z7" i="2"/>
  <c r="V9" i="2"/>
  <c r="U14" i="2"/>
  <c r="T13" i="2"/>
  <c r="T14" i="2" s="1"/>
  <c r="M11" i="2"/>
  <c r="M29" i="2" s="1"/>
  <c r="L29" i="2"/>
  <c r="L13" i="2"/>
  <c r="K28" i="2"/>
  <c r="J28" i="2"/>
  <c r="J13" i="2"/>
  <c r="K13" i="2"/>
  <c r="Q27" i="2"/>
  <c r="B14" i="2"/>
  <c r="B23" i="2" s="1"/>
  <c r="G27" i="2"/>
  <c r="H27" i="2"/>
  <c r="I27" i="2"/>
  <c r="E9" i="2"/>
  <c r="E14" i="2" s="1"/>
  <c r="E16" i="2" s="1"/>
  <c r="F27" i="2"/>
  <c r="R27" i="2"/>
  <c r="K9" i="2"/>
  <c r="K22" i="2" s="1"/>
  <c r="P27" i="2"/>
  <c r="J9" i="2"/>
  <c r="J22" i="2" s="1"/>
  <c r="R22" i="2"/>
  <c r="R14" i="2"/>
  <c r="Q22" i="2"/>
  <c r="Q14" i="2"/>
  <c r="P22" i="2"/>
  <c r="P14" i="2"/>
  <c r="O14" i="2"/>
  <c r="O16" i="2" s="1"/>
  <c r="O22" i="2"/>
  <c r="I14" i="2"/>
  <c r="I22" i="2"/>
  <c r="H22" i="2"/>
  <c r="H14" i="2"/>
  <c r="G22" i="2"/>
  <c r="G14" i="2"/>
  <c r="F14" i="2"/>
  <c r="D14" i="2"/>
  <c r="D22" i="2"/>
  <c r="C22" i="2"/>
  <c r="C14" i="2"/>
  <c r="Z27" i="2" l="1"/>
  <c r="AA7" i="2"/>
  <c r="Y8" i="2"/>
  <c r="X9" i="2"/>
  <c r="X22" i="2" s="1"/>
  <c r="V13" i="2"/>
  <c r="V14" i="2" s="1"/>
  <c r="L28" i="2"/>
  <c r="L9" i="2"/>
  <c r="L22" i="2" s="1"/>
  <c r="K27" i="2"/>
  <c r="S8" i="2"/>
  <c r="J14" i="2"/>
  <c r="K14" i="2"/>
  <c r="K23" i="2" s="1"/>
  <c r="E22" i="2"/>
  <c r="B16" i="2"/>
  <c r="B18" i="2" s="1"/>
  <c r="R23" i="2"/>
  <c r="R16" i="2"/>
  <c r="Q23" i="2"/>
  <c r="Q16" i="2"/>
  <c r="P23" i="2"/>
  <c r="P16" i="2"/>
  <c r="O23" i="2"/>
  <c r="O18" i="2"/>
  <c r="O25" i="2"/>
  <c r="I16" i="2"/>
  <c r="I23" i="2"/>
  <c r="H23" i="2"/>
  <c r="H16" i="2"/>
  <c r="G23" i="2"/>
  <c r="G16" i="2"/>
  <c r="F23" i="2"/>
  <c r="F16" i="2"/>
  <c r="E23" i="2"/>
  <c r="E25" i="2"/>
  <c r="E18" i="2"/>
  <c r="D23" i="2"/>
  <c r="D16" i="2"/>
  <c r="C23" i="2"/>
  <c r="C16" i="2"/>
  <c r="AA27" i="2" l="1"/>
  <c r="AB7" i="2"/>
  <c r="Z8" i="2"/>
  <c r="Y9" i="2"/>
  <c r="Y22" i="2" s="1"/>
  <c r="W13" i="2"/>
  <c r="W14" i="2" s="1"/>
  <c r="W23" i="2" s="1"/>
  <c r="M28" i="2"/>
  <c r="M13" i="2"/>
  <c r="S13" i="2"/>
  <c r="L27" i="2"/>
  <c r="S7" i="2"/>
  <c r="S9" i="2" s="1"/>
  <c r="L14" i="2"/>
  <c r="L23" i="2" s="1"/>
  <c r="J16" i="2"/>
  <c r="J23" i="2"/>
  <c r="B25" i="2"/>
  <c r="B24" i="2"/>
  <c r="B19" i="2"/>
  <c r="R25" i="2"/>
  <c r="R18" i="2"/>
  <c r="Q18" i="2"/>
  <c r="Q25" i="2"/>
  <c r="P25" i="2"/>
  <c r="P18" i="2"/>
  <c r="O19" i="2"/>
  <c r="O24" i="2"/>
  <c r="I18" i="2"/>
  <c r="I25" i="2"/>
  <c r="H18" i="2"/>
  <c r="H25" i="2"/>
  <c r="G25" i="2"/>
  <c r="G18" i="2"/>
  <c r="F25" i="2"/>
  <c r="F18" i="2"/>
  <c r="E24" i="2"/>
  <c r="E19" i="2"/>
  <c r="D25" i="2"/>
  <c r="D18" i="2"/>
  <c r="C25" i="2"/>
  <c r="C18" i="2"/>
  <c r="AB27" i="2" l="1"/>
  <c r="AC7" i="2"/>
  <c r="AC27" i="2" s="1"/>
  <c r="AA8" i="2"/>
  <c r="Z9" i="2"/>
  <c r="Z22" i="2" s="1"/>
  <c r="X13" i="2"/>
  <c r="X14" i="2" s="1"/>
  <c r="X23" i="2" s="1"/>
  <c r="S14" i="2"/>
  <c r="S23" i="2" s="1"/>
  <c r="M27" i="2"/>
  <c r="M9" i="2"/>
  <c r="J17" i="2"/>
  <c r="J25" i="2" s="1"/>
  <c r="R24" i="2"/>
  <c r="R19" i="2"/>
  <c r="Q24" i="2"/>
  <c r="Q19" i="2"/>
  <c r="P19" i="2"/>
  <c r="P24" i="2"/>
  <c r="I19" i="2"/>
  <c r="I24" i="2"/>
  <c r="H24" i="2"/>
  <c r="H19" i="2"/>
  <c r="G24" i="2"/>
  <c r="G19" i="2"/>
  <c r="F19" i="2"/>
  <c r="F24" i="2"/>
  <c r="D19" i="2"/>
  <c r="D24" i="2"/>
  <c r="C24" i="2"/>
  <c r="C19" i="2"/>
  <c r="AB8" i="2" l="1"/>
  <c r="AA9" i="2"/>
  <c r="AA22" i="2" s="1"/>
  <c r="Y13" i="2"/>
  <c r="Y14" i="2" s="1"/>
  <c r="Y23" i="2" s="1"/>
  <c r="M22" i="2"/>
  <c r="M14" i="2"/>
  <c r="M23" i="2" s="1"/>
  <c r="J18" i="2"/>
  <c r="AC8" i="2" l="1"/>
  <c r="AC9" i="2" s="1"/>
  <c r="AC22" i="2" s="1"/>
  <c r="AB9" i="2"/>
  <c r="AB22" i="2" s="1"/>
  <c r="Z13" i="2"/>
  <c r="Z14" i="2" s="1"/>
  <c r="Z23" i="2" s="1"/>
  <c r="J24" i="2"/>
  <c r="J32" i="2"/>
  <c r="J19" i="2"/>
  <c r="AA13" i="2" l="1"/>
  <c r="AA14" i="2" s="1"/>
  <c r="AA23" i="2" s="1"/>
  <c r="K15" i="2"/>
  <c r="AC13" i="2" l="1"/>
  <c r="AC14" i="2" s="1"/>
  <c r="AC23" i="2" s="1"/>
  <c r="AB13" i="2"/>
  <c r="AB14" i="2" s="1"/>
  <c r="AB23" i="2" s="1"/>
  <c r="K16" i="2"/>
  <c r="K17" i="2" l="1"/>
  <c r="K25" i="2" s="1"/>
  <c r="K18" i="2" l="1"/>
  <c r="K19" i="2" l="1"/>
  <c r="K24" i="2"/>
  <c r="K32" i="2"/>
  <c r="L15" i="2" l="1"/>
  <c r="L16" i="2" l="1"/>
  <c r="L17" i="2" s="1"/>
  <c r="L18" i="2" l="1"/>
  <c r="L25" i="2"/>
  <c r="L24" i="2" l="1"/>
  <c r="L19" i="2"/>
  <c r="L32" i="2"/>
  <c r="M15" i="2" l="1"/>
  <c r="M16" i="2" l="1"/>
  <c r="M17" i="2" s="1"/>
  <c r="S16" i="2"/>
  <c r="S17" i="2" l="1"/>
  <c r="S25" i="2" s="1"/>
  <c r="M18" i="2"/>
  <c r="M25" i="2"/>
  <c r="S18" i="2" l="1"/>
  <c r="M24" i="2"/>
  <c r="M19" i="2"/>
  <c r="M32" i="2"/>
  <c r="S24" i="2" l="1"/>
  <c r="S32" i="2"/>
  <c r="T15" i="2" l="1"/>
  <c r="T16" i="2" s="1"/>
  <c r="T17" i="2" l="1"/>
  <c r="T25" i="2" s="1"/>
  <c r="T18" i="2" l="1"/>
  <c r="T24" i="2"/>
  <c r="T32" i="2" l="1"/>
  <c r="U15" i="2" s="1"/>
  <c r="U16" i="2" s="1"/>
  <c r="U17" i="2" s="1"/>
  <c r="U25" i="2" s="1"/>
  <c r="U18" i="2" l="1"/>
  <c r="U32" i="2" l="1"/>
  <c r="V15" i="2" s="1"/>
  <c r="V16" i="2" s="1"/>
  <c r="V17" i="2" s="1"/>
  <c r="V25" i="2" s="1"/>
  <c r="U24" i="2"/>
  <c r="V18" i="2" l="1"/>
  <c r="V24" i="2" s="1"/>
  <c r="V32" i="2" l="1"/>
  <c r="W15" i="2" s="1"/>
  <c r="W16" i="2" s="1"/>
  <c r="W17" i="2" s="1"/>
  <c r="W18" i="2" s="1"/>
  <c r="W25" i="2" l="1"/>
  <c r="W24" i="2"/>
  <c r="W32" i="2"/>
  <c r="X15" i="2" l="1"/>
  <c r="X16" i="2" s="1"/>
  <c r="X17" i="2" s="1"/>
  <c r="X25" i="2" s="1"/>
  <c r="X18" i="2" l="1"/>
  <c r="X32" i="2" l="1"/>
  <c r="Y15" i="2" s="1"/>
  <c r="X24" i="2"/>
  <c r="Y16" i="2" l="1"/>
  <c r="Y17" i="2" s="1"/>
  <c r="Y18" i="2" l="1"/>
  <c r="Y25" i="2"/>
  <c r="Y24" i="2" l="1"/>
  <c r="Y32" i="2"/>
  <c r="Z15" i="2" l="1"/>
  <c r="Z16" i="2" s="1"/>
  <c r="Z17" i="2" l="1"/>
  <c r="Z25" i="2" s="1"/>
  <c r="Z18" i="2" l="1"/>
  <c r="Z32" i="2" l="1"/>
  <c r="AA15" i="2" s="1"/>
  <c r="AA16" i="2" s="1"/>
  <c r="AA17" i="2" s="1"/>
  <c r="AA25" i="2" s="1"/>
  <c r="Z24" i="2"/>
  <c r="AA18" i="2" l="1"/>
  <c r="AA32" i="2" l="1"/>
  <c r="AB15" i="2" s="1"/>
  <c r="AB16" i="2" s="1"/>
  <c r="AA24" i="2"/>
  <c r="AB17" i="2"/>
  <c r="AB25" i="2" s="1"/>
  <c r="AB18" i="2" l="1"/>
  <c r="AB32" i="2"/>
  <c r="AC15" i="2" s="1"/>
  <c r="AC16" i="2" s="1"/>
  <c r="AB24" i="2" l="1"/>
  <c r="AC17" i="2"/>
  <c r="AC25" i="2" s="1"/>
  <c r="AC18" i="2" l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AC32" i="2"/>
  <c r="AC24" i="2"/>
  <c r="AF25" i="2" l="1"/>
  <c r="AF27" i="2" s="1"/>
  <c r="AF28" i="2" s="1"/>
</calcChain>
</file>

<file path=xl/sharedStrings.xml><?xml version="1.0" encoding="utf-8"?>
<sst xmlns="http://schemas.openxmlformats.org/spreadsheetml/2006/main" count="59" uniqueCount="52">
  <si>
    <t>CyberArk Software</t>
  </si>
  <si>
    <t>(CYBR)</t>
  </si>
  <si>
    <t>(in millions)</t>
  </si>
  <si>
    <t>Q122</t>
  </si>
  <si>
    <t>Q222</t>
  </si>
  <si>
    <t>Q322</t>
  </si>
  <si>
    <t>Q422</t>
  </si>
  <si>
    <t>Q123</t>
  </si>
  <si>
    <t>Q223</t>
  </si>
  <si>
    <t>Q323</t>
  </si>
  <si>
    <t>Q423</t>
  </si>
  <si>
    <t>Subscription</t>
  </si>
  <si>
    <t>Perpetual license</t>
  </si>
  <si>
    <t>Maintenance and service</t>
  </si>
  <si>
    <t>Revenue</t>
  </si>
  <si>
    <t>COGS</t>
  </si>
  <si>
    <t>Gross profit</t>
  </si>
  <si>
    <t>R&amp;D</t>
  </si>
  <si>
    <t>S&amp;M</t>
  </si>
  <si>
    <t>G&amp;A</t>
  </si>
  <si>
    <t>Operating expense</t>
  </si>
  <si>
    <t>Operating income</t>
  </si>
  <si>
    <t>Interest income/expense</t>
  </si>
  <si>
    <t>Pretax income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</si>
  <si>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</si>
  <si>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</si>
  <si>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</si>
  <si>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</si>
  <si>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</si>
  <si>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</si>
  <si>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</si>
  <si>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</si>
  <si>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Q124</t>
  </si>
  <si>
    <t>Q224</t>
  </si>
  <si>
    <t>Q324</t>
  </si>
  <si>
    <t>Q424</t>
  </si>
  <si>
    <t>Revenue y/y</t>
  </si>
  <si>
    <t>Net cash</t>
  </si>
  <si>
    <t>R&amp;D y/y</t>
  </si>
  <si>
    <t>S&amp;M y/y</t>
  </si>
  <si>
    <t>G&amp;A y/y</t>
  </si>
  <si>
    <t>ROIC</t>
  </si>
  <si>
    <t>Terminal value</t>
  </si>
  <si>
    <t>Discount rate</t>
  </si>
  <si>
    <t>NPV</t>
  </si>
  <si>
    <t>Current Share</t>
  </si>
  <si>
    <t>Per share</t>
  </si>
  <si>
    <t>Price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</si>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</sst>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57150</xdr:rowOff>
    </xdr:from>
    <xdr:to>
      <xdr:col>9</xdr:col>
      <xdr:colOff>19050</xdr:colOff>
      <xdr:row>49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95DC0C1-ECFB-E752-9773-176C36416FEA}"/>
            </a:ext>
          </a:extLst>
        </xdr:cNvPr>
        <xdr:cNvCxnSpPr/>
      </xdr:nvCxnSpPr>
      <xdr:spPr>
        <a:xfrm>
          <a:off x="8591550" y="57150"/>
          <a:ext cx="0" cy="771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0</xdr:row>
      <xdr:rowOff>57150</xdr:rowOff>
    </xdr:from>
    <xdr:to>
      <xdr:col>18</xdr:col>
      <xdr:colOff>19050</xdr:colOff>
      <xdr:row>49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7AC04D1-0F16-46EF-BBB2-FDD32813B967}"/>
            </a:ext>
          </a:extLst>
        </xdr:cNvPr>
        <xdr:cNvCxnSpPr/>
      </xdr:nvCxnSpPr>
      <xdr:spPr>
        <a:xfrm>
          <a:off x="14077950" y="57150"/>
          <a:ext cx="0" cy="771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0108-B4C4-48DB-83BE-335217CF5A5A}">
  <dimension ref="A1:K10"/>
  <sheetViews>
    <sheetView tabSelected="1" workbookViewId="0">
      <selection activeCell="G25" sqref="G25"/>
    </sheetView>
  </sheetViews>
  <sheetFormatPr defaultRowHeight="12.75" x14ac:dyDescent="0.2"/>
  <cols>
    <col min="1" max="1" width="47.42578125" bestFit="1" customWidth="1"/>
  </cols>
  <sheetData>
    <row r="1" spans="1:11" ht="34.5" x14ac:dyDescent="0.45">
      <c r="A1" s="1" t="s">
        <v>0</v>
      </c>
    </row>
    <row r="2" spans="1:11" x14ac:dyDescent="0.2">
      <c r="A2" t="s">
        <v>1</v>
      </c>
    </row>
    <row r="3" spans="1:11" x14ac:dyDescent="0.2">
      <c r="A3" t="s">
        <v>2</v>
      </c>
      <c r="I3" t="s">
        <v>47</v>
      </c>
      <c r="J3" s="13">
        <v>265</v>
      </c>
    </row>
    <row r="4" spans="1:11" x14ac:dyDescent="0.2">
      <c r="I4" t="s">
        <v>27</v>
      </c>
      <c r="J4" s="13">
        <v>41.658423999999997</v>
      </c>
      <c r="K4" s="2" t="s">
        <v>10</v>
      </c>
    </row>
    <row r="5" spans="1:11" x14ac:dyDescent="0.2">
      <c r="I5" t="s">
        <v>48</v>
      </c>
      <c r="J5" s="13">
        <f>+J3*J4</f>
        <v>11039.48236</v>
      </c>
      <c r="K5" s="2"/>
    </row>
    <row r="6" spans="1:11" x14ac:dyDescent="0.2">
      <c r="I6" t="s">
        <v>49</v>
      </c>
      <c r="J6" s="13">
        <f>355.933+354.472+283.016+324.548</f>
        <v>1317.9690000000001</v>
      </c>
      <c r="K6" s="2" t="s">
        <v>10</v>
      </c>
    </row>
    <row r="7" spans="1:11" x14ac:dyDescent="0.2">
      <c r="I7" t="s">
        <v>50</v>
      </c>
      <c r="J7" s="15">
        <v>572.34</v>
      </c>
      <c r="K7" s="2" t="s">
        <v>10</v>
      </c>
    </row>
    <row r="8" spans="1:11" x14ac:dyDescent="0.2">
      <c r="I8" t="s">
        <v>51</v>
      </c>
      <c r="J8" s="13">
        <f>+J5-J6+J7</f>
        <v>10293.853360000001</v>
      </c>
    </row>
    <row r="9" spans="1:11" x14ac:dyDescent="0.2">
      <c r="J9">
        <v>596</v>
      </c>
    </row>
    <row r="10" spans="1:11" x14ac:dyDescent="0.2">
      <c r="J10" s="16">
        <f>+J8/J9</f>
        <v>17.271566040268457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573B-7441-49E2-97E0-14044E8D42E3}">
  <dimension ref="A1:DZ32"/>
  <sheetViews>
    <sheetView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S19" sqref="S19"/>
    </sheetView>
  </sheetViews>
  <sheetFormatPr defaultRowHeight="12.75" x14ac:dyDescent="0.2"/>
  <cols>
    <col min="1" max="1" width="47.42578125" bestFit="1" customWidth="1"/>
    <col min="2" max="9" width="10.140625" style="2" bestFit="1" customWidth="1"/>
    <col min="10" max="17" width="9.140625" style="2"/>
    <col min="31" max="31" width="12.7109375" bestFit="1" customWidth="1"/>
  </cols>
  <sheetData>
    <row r="1" spans="1:29" ht="34.5" x14ac:dyDescent="0.45">
      <c r="A1" s="1" t="s">
        <v>0</v>
      </c>
    </row>
    <row r="2" spans="1:29" x14ac:dyDescent="0.2">
      <c r="A2" t="s">
        <v>1</v>
      </c>
      <c r="B2" s="9">
        <v>44651</v>
      </c>
      <c r="C2" s="9">
        <v>44772</v>
      </c>
      <c r="D2" s="9">
        <v>44834</v>
      </c>
      <c r="E2" s="9">
        <v>44926</v>
      </c>
      <c r="F2" s="9">
        <v>45016</v>
      </c>
      <c r="G2" s="9">
        <v>45137</v>
      </c>
      <c r="H2" s="9">
        <v>45199</v>
      </c>
      <c r="I2" s="9">
        <v>45291</v>
      </c>
    </row>
    <row r="3" spans="1:29" x14ac:dyDescent="0.2">
      <c r="A3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32</v>
      </c>
      <c r="K3" s="2" t="s">
        <v>33</v>
      </c>
      <c r="L3" s="2" t="s">
        <v>34</v>
      </c>
      <c r="M3" s="2" t="s">
        <v>35</v>
      </c>
      <c r="O3" s="2">
        <v>2020</v>
      </c>
      <c r="P3" s="2">
        <f>+O3+1</f>
        <v>2021</v>
      </c>
      <c r="Q3" s="2">
        <f t="shared" ref="Q3:AC3" si="0">+P3+1</f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s="2">
        <f t="shared" si="0"/>
        <v>2026</v>
      </c>
      <c r="V3" s="2">
        <f t="shared" si="0"/>
        <v>2027</v>
      </c>
      <c r="W3" s="2">
        <f t="shared" si="0"/>
        <v>2028</v>
      </c>
      <c r="X3" s="2">
        <f t="shared" si="0"/>
        <v>2029</v>
      </c>
      <c r="Y3" s="2">
        <f t="shared" si="0"/>
        <v>2030</v>
      </c>
      <c r="Z3" s="2">
        <f t="shared" si="0"/>
        <v>2031</v>
      </c>
      <c r="AA3" s="2">
        <f t="shared" si="0"/>
        <v>2032</v>
      </c>
      <c r="AB3" s="2">
        <f t="shared" si="0"/>
        <v>2033</v>
      </c>
      <c r="AC3" s="2">
        <f t="shared" si="0"/>
        <v>2034</v>
      </c>
    </row>
    <row r="4" spans="1:29" x14ac:dyDescent="0.2">
      <c r="A4" t="s">
        <v>11</v>
      </c>
      <c r="B4" s="7">
        <v>51.95</v>
      </c>
      <c r="C4" s="7">
        <v>65.998999999999995</v>
      </c>
      <c r="D4" s="7">
        <v>74.248999999999995</v>
      </c>
      <c r="E4" s="7">
        <v>88.450999999999993</v>
      </c>
      <c r="F4" s="7">
        <v>92.72</v>
      </c>
      <c r="G4" s="7">
        <v>106.167</v>
      </c>
      <c r="H4" s="7">
        <v>122.879</v>
      </c>
      <c r="I4" s="7">
        <v>150.25700000000001</v>
      </c>
      <c r="J4" s="7">
        <v>150.25700000000001</v>
      </c>
      <c r="K4" s="7">
        <v>150.25700000000001</v>
      </c>
      <c r="L4" s="7">
        <v>150.25700000000001</v>
      </c>
      <c r="M4" s="7">
        <v>150.25700000000001</v>
      </c>
      <c r="O4" s="7">
        <v>56.424999999999997</v>
      </c>
      <c r="P4" s="7">
        <v>134.62799999999999</v>
      </c>
      <c r="Q4" s="7">
        <v>280.649</v>
      </c>
      <c r="R4" s="7">
        <v>472.02300000000002</v>
      </c>
      <c r="S4" s="13"/>
    </row>
    <row r="5" spans="1:29" x14ac:dyDescent="0.2">
      <c r="A5" t="s">
        <v>12</v>
      </c>
      <c r="B5" s="7">
        <v>10.557</v>
      </c>
      <c r="C5" s="7">
        <v>11.038</v>
      </c>
      <c r="D5" s="7">
        <v>13.79</v>
      </c>
      <c r="E5" s="7">
        <v>14.579000000000001</v>
      </c>
      <c r="F5" s="7">
        <v>3.8820000000000001</v>
      </c>
      <c r="G5" s="7">
        <v>5.09</v>
      </c>
      <c r="H5" s="7">
        <v>4.056</v>
      </c>
      <c r="I5" s="7">
        <v>8.0090000000000003</v>
      </c>
      <c r="J5" s="7">
        <v>8.0090000000000003</v>
      </c>
      <c r="K5" s="7">
        <v>8.0090000000000003</v>
      </c>
      <c r="L5" s="7">
        <v>8.0090000000000003</v>
      </c>
      <c r="M5" s="7">
        <v>8.0090000000000003</v>
      </c>
      <c r="O5" s="7">
        <v>176.06100000000001</v>
      </c>
      <c r="P5" s="7">
        <v>115.738</v>
      </c>
      <c r="Q5" s="7">
        <v>49.963999999999999</v>
      </c>
      <c r="R5" s="7">
        <v>21.036999999999999</v>
      </c>
    </row>
    <row r="6" spans="1:29" x14ac:dyDescent="0.2">
      <c r="A6" t="s">
        <v>13</v>
      </c>
      <c r="B6" s="7">
        <v>65.055000000000007</v>
      </c>
      <c r="C6" s="7">
        <v>65.290000000000006</v>
      </c>
      <c r="D6" s="7">
        <v>64.631</v>
      </c>
      <c r="E6" s="7">
        <v>66.120999999999995</v>
      </c>
      <c r="F6" s="7">
        <v>65.102999999999994</v>
      </c>
      <c r="G6" s="7">
        <v>64.585999999999999</v>
      </c>
      <c r="H6" s="7">
        <v>64.301000000000002</v>
      </c>
      <c r="I6" s="7">
        <v>64.837999999999994</v>
      </c>
      <c r="J6" s="7">
        <v>64.837999999999994</v>
      </c>
      <c r="K6" s="7">
        <v>64.837999999999994</v>
      </c>
      <c r="L6" s="7">
        <v>64.837999999999994</v>
      </c>
      <c r="M6" s="7">
        <v>64.837999999999994</v>
      </c>
      <c r="O6" s="7">
        <v>231.94499999999999</v>
      </c>
      <c r="P6" s="7">
        <v>252.55099999999999</v>
      </c>
      <c r="Q6" s="7">
        <v>261.09699999999998</v>
      </c>
      <c r="R6" s="7">
        <v>258.82799999999997</v>
      </c>
    </row>
    <row r="7" spans="1:29" s="3" customFormat="1" x14ac:dyDescent="0.2">
      <c r="A7" s="3" t="s">
        <v>14</v>
      </c>
      <c r="B7" s="8">
        <f t="shared" ref="B7:I7" si="1">+SUM(B4:B6)</f>
        <v>127.56200000000001</v>
      </c>
      <c r="C7" s="8">
        <f t="shared" si="1"/>
        <v>142.327</v>
      </c>
      <c r="D7" s="8">
        <f t="shared" si="1"/>
        <v>152.66999999999999</v>
      </c>
      <c r="E7" s="8">
        <f t="shared" si="1"/>
        <v>169.15100000000001</v>
      </c>
      <c r="F7" s="8">
        <f t="shared" si="1"/>
        <v>161.70499999999998</v>
      </c>
      <c r="G7" s="8">
        <f t="shared" si="1"/>
        <v>175.84300000000002</v>
      </c>
      <c r="H7" s="8">
        <f t="shared" si="1"/>
        <v>191.23599999999999</v>
      </c>
      <c r="I7" s="8">
        <f t="shared" si="1"/>
        <v>223.10400000000001</v>
      </c>
      <c r="J7" s="8">
        <f>+I7*1.05</f>
        <v>234.25920000000002</v>
      </c>
      <c r="K7" s="8">
        <f t="shared" ref="K7:M7" si="2">+J7*1.05</f>
        <v>245.97216000000003</v>
      </c>
      <c r="L7" s="8">
        <f t="shared" si="2"/>
        <v>258.27076800000003</v>
      </c>
      <c r="M7" s="8">
        <f t="shared" si="2"/>
        <v>271.18430640000003</v>
      </c>
      <c r="N7" s="4"/>
      <c r="O7" s="8">
        <f>+SUM(O4:O6)</f>
        <v>464.43099999999998</v>
      </c>
      <c r="P7" s="8">
        <f>+SUM(P4:P6)</f>
        <v>502.91699999999997</v>
      </c>
      <c r="Q7" s="8">
        <f>+SUM(Q4:Q6)</f>
        <v>591.71</v>
      </c>
      <c r="R7" s="8">
        <f>+SUM(R4:R6)</f>
        <v>751.88799999999992</v>
      </c>
      <c r="S7" s="14">
        <f>+SUM(J7:M7)</f>
        <v>1009.6864344000001</v>
      </c>
      <c r="T7" s="14">
        <f>+S7*1.25</f>
        <v>1262.1080430000002</v>
      </c>
      <c r="U7" s="14">
        <f t="shared" ref="U7:X7" si="3">+T7*1.25</f>
        <v>1577.6350537500002</v>
      </c>
      <c r="V7" s="14">
        <f t="shared" si="3"/>
        <v>1972.0438171875003</v>
      </c>
      <c r="W7" s="14">
        <f t="shared" si="3"/>
        <v>2465.0547714843751</v>
      </c>
      <c r="X7" s="14">
        <f t="shared" si="3"/>
        <v>3081.3184643554687</v>
      </c>
      <c r="Y7" s="14">
        <f t="shared" ref="Y7:AC7" si="4">+X7*1.15</f>
        <v>3543.5162340087886</v>
      </c>
      <c r="Z7" s="14">
        <f t="shared" si="4"/>
        <v>4075.0436691101067</v>
      </c>
      <c r="AA7" s="14">
        <f t="shared" si="4"/>
        <v>4686.3002194766223</v>
      </c>
      <c r="AB7" s="14">
        <f t="shared" si="4"/>
        <v>5389.2452523981156</v>
      </c>
      <c r="AC7" s="14">
        <f t="shared" si="4"/>
        <v>6197.6320402578322</v>
      </c>
    </row>
    <row r="8" spans="1:29" x14ac:dyDescent="0.2">
      <c r="A8" t="s">
        <v>15</v>
      </c>
      <c r="B8" s="7">
        <v>28.033999999999999</v>
      </c>
      <c r="C8" s="7">
        <v>30.719000000000001</v>
      </c>
      <c r="D8" s="7">
        <v>32.465000000000003</v>
      </c>
      <c r="E8" s="7">
        <v>34.828000000000003</v>
      </c>
      <c r="F8" s="7">
        <v>35.945</v>
      </c>
      <c r="G8" s="7">
        <v>38.767000000000003</v>
      </c>
      <c r="H8" s="7">
        <v>41.738999999999997</v>
      </c>
      <c r="I8" s="7">
        <v>39.652999999999999</v>
      </c>
      <c r="J8" s="7">
        <f>+I8*1.02</f>
        <v>40.446060000000003</v>
      </c>
      <c r="K8" s="7">
        <f t="shared" ref="K8:M8" si="5">+J8*1.02</f>
        <v>41.254981200000003</v>
      </c>
      <c r="L8" s="7">
        <f t="shared" si="5"/>
        <v>42.080080824000007</v>
      </c>
      <c r="M8" s="7">
        <f t="shared" si="5"/>
        <v>42.921682440480005</v>
      </c>
      <c r="O8" s="7">
        <v>82.570999999999998</v>
      </c>
      <c r="P8" s="7">
        <v>93.307000000000002</v>
      </c>
      <c r="Q8" s="7">
        <v>126.04600000000001</v>
      </c>
      <c r="R8" s="7">
        <v>156.131</v>
      </c>
      <c r="S8" s="13">
        <f>+SUM(J8:M8)</f>
        <v>166.70280446448001</v>
      </c>
      <c r="T8" s="13">
        <f>+S8*1.17</f>
        <v>195.04228122344159</v>
      </c>
      <c r="U8" s="13">
        <f t="shared" ref="U8:AC8" si="6">+T8*1.17</f>
        <v>228.19946903142664</v>
      </c>
      <c r="V8" s="13">
        <f t="shared" si="6"/>
        <v>266.99337876676918</v>
      </c>
      <c r="W8" s="13">
        <f t="shared" si="6"/>
        <v>312.38225315711992</v>
      </c>
      <c r="X8" s="13">
        <f t="shared" si="6"/>
        <v>365.48723619383026</v>
      </c>
      <c r="Y8" s="13">
        <f t="shared" si="6"/>
        <v>427.62006634678136</v>
      </c>
      <c r="Z8" s="13">
        <f t="shared" si="6"/>
        <v>500.31547762573416</v>
      </c>
      <c r="AA8" s="13">
        <f t="shared" si="6"/>
        <v>585.36910882210896</v>
      </c>
      <c r="AB8" s="13">
        <f t="shared" si="6"/>
        <v>684.88185732186741</v>
      </c>
      <c r="AC8" s="13">
        <f t="shared" si="6"/>
        <v>801.31177306658481</v>
      </c>
    </row>
    <row r="9" spans="1:29" x14ac:dyDescent="0.2">
      <c r="A9" t="s">
        <v>16</v>
      </c>
      <c r="B9" s="7">
        <f t="shared" ref="B9:I9" si="7">+B7-B8</f>
        <v>99.52800000000002</v>
      </c>
      <c r="C9" s="7">
        <f t="shared" si="7"/>
        <v>111.608</v>
      </c>
      <c r="D9" s="7">
        <f t="shared" si="7"/>
        <v>120.20499999999998</v>
      </c>
      <c r="E9" s="7">
        <f t="shared" si="7"/>
        <v>134.32300000000001</v>
      </c>
      <c r="F9" s="7">
        <f t="shared" si="7"/>
        <v>125.75999999999999</v>
      </c>
      <c r="G9" s="7">
        <f t="shared" si="7"/>
        <v>137.07600000000002</v>
      </c>
      <c r="H9" s="7">
        <f t="shared" si="7"/>
        <v>149.49699999999999</v>
      </c>
      <c r="I9" s="7">
        <f t="shared" si="7"/>
        <v>183.45100000000002</v>
      </c>
      <c r="J9" s="7">
        <f t="shared" ref="J9:M9" si="8">+J7-J8</f>
        <v>193.81314000000003</v>
      </c>
      <c r="K9" s="7">
        <f t="shared" si="8"/>
        <v>204.71717880000003</v>
      </c>
      <c r="L9" s="7">
        <f t="shared" si="8"/>
        <v>216.19068717600004</v>
      </c>
      <c r="M9" s="7">
        <f t="shared" si="8"/>
        <v>228.26262395952003</v>
      </c>
      <c r="O9" s="7">
        <f>+O7-O8</f>
        <v>381.86</v>
      </c>
      <c r="P9" s="7">
        <f>+P7-P8</f>
        <v>409.60999999999996</v>
      </c>
      <c r="Q9" s="7">
        <f>+Q7-Q8</f>
        <v>465.66400000000004</v>
      </c>
      <c r="R9" s="7">
        <f>+R7-R8</f>
        <v>595.75699999999995</v>
      </c>
      <c r="S9" s="7">
        <f>+S7-S8</f>
        <v>842.98362993552007</v>
      </c>
      <c r="T9" s="7">
        <f t="shared" ref="T9:AC9" si="9">+T7-T8</f>
        <v>1067.0657617765587</v>
      </c>
      <c r="U9" s="7">
        <f t="shared" si="9"/>
        <v>1349.4355847185736</v>
      </c>
      <c r="V9" s="7">
        <f t="shared" si="9"/>
        <v>1705.0504384207311</v>
      </c>
      <c r="W9" s="7">
        <f t="shared" si="9"/>
        <v>2152.6725183272551</v>
      </c>
      <c r="X9" s="7">
        <f t="shared" si="9"/>
        <v>2715.8312281616386</v>
      </c>
      <c r="Y9" s="7">
        <f t="shared" si="9"/>
        <v>3115.8961676620074</v>
      </c>
      <c r="Z9" s="7">
        <f t="shared" si="9"/>
        <v>3574.7281914843725</v>
      </c>
      <c r="AA9" s="7">
        <f t="shared" si="9"/>
        <v>4100.9311106545138</v>
      </c>
      <c r="AB9" s="7">
        <f t="shared" si="9"/>
        <v>4704.3633950762478</v>
      </c>
      <c r="AC9" s="7">
        <f t="shared" si="9"/>
        <v>5396.3202671912477</v>
      </c>
    </row>
    <row r="10" spans="1:29" x14ac:dyDescent="0.2">
      <c r="A10" t="s">
        <v>17</v>
      </c>
      <c r="B10" s="7">
        <v>43.442999999999998</v>
      </c>
      <c r="C10" s="7">
        <v>46.963999999999999</v>
      </c>
      <c r="D10" s="7">
        <v>48.436999999999998</v>
      </c>
      <c r="E10" s="7">
        <v>51.476999999999997</v>
      </c>
      <c r="F10" s="7">
        <v>52.256</v>
      </c>
      <c r="G10" s="7">
        <v>53.664000000000001</v>
      </c>
      <c r="H10" s="7">
        <v>51.732999999999997</v>
      </c>
      <c r="I10" s="7">
        <v>53.792000000000002</v>
      </c>
      <c r="J10" s="7">
        <f>+I10*1.05</f>
        <v>56.481600000000007</v>
      </c>
      <c r="K10" s="7">
        <f t="shared" ref="K10:M10" si="10">+J10*1.05</f>
        <v>59.305680000000009</v>
      </c>
      <c r="L10" s="7">
        <f t="shared" si="10"/>
        <v>62.270964000000014</v>
      </c>
      <c r="M10" s="7">
        <f t="shared" si="10"/>
        <v>65.384512200000017</v>
      </c>
      <c r="O10" s="7">
        <v>95.426000000000002</v>
      </c>
      <c r="P10" s="7">
        <v>142.12100000000001</v>
      </c>
      <c r="Q10" s="7">
        <v>190.321</v>
      </c>
      <c r="R10" s="7">
        <v>211.44499999999999</v>
      </c>
      <c r="S10" s="13">
        <f>+SUM(J10:M10)</f>
        <v>243.44275620000005</v>
      </c>
      <c r="T10" s="13">
        <f>+S10*1.1</f>
        <v>267.7870318200001</v>
      </c>
      <c r="U10" s="13">
        <f t="shared" ref="U10:AC10" si="11">+T10*1.1</f>
        <v>294.56573500200011</v>
      </c>
      <c r="V10" s="13">
        <f t="shared" si="11"/>
        <v>324.02230850220013</v>
      </c>
      <c r="W10" s="13">
        <f t="shared" si="11"/>
        <v>356.4245393524202</v>
      </c>
      <c r="X10" s="13">
        <f t="shared" si="11"/>
        <v>392.06699328766223</v>
      </c>
      <c r="Y10" s="13">
        <f t="shared" si="11"/>
        <v>431.27369261642849</v>
      </c>
      <c r="Z10" s="13">
        <f t="shared" si="11"/>
        <v>474.4010618780714</v>
      </c>
      <c r="AA10" s="13">
        <f t="shared" si="11"/>
        <v>521.84116806587861</v>
      </c>
      <c r="AB10" s="13">
        <f t="shared" si="11"/>
        <v>574.0252848724665</v>
      </c>
      <c r="AC10" s="13">
        <f t="shared" si="11"/>
        <v>631.42781335971324</v>
      </c>
    </row>
    <row r="11" spans="1:29" x14ac:dyDescent="0.2">
      <c r="A11" t="s">
        <v>18</v>
      </c>
      <c r="B11" s="7">
        <v>77.433000000000007</v>
      </c>
      <c r="C11" s="7">
        <v>86.805000000000007</v>
      </c>
      <c r="D11" s="7">
        <v>90.298000000000002</v>
      </c>
      <c r="E11" s="7">
        <v>90.736999999999995</v>
      </c>
      <c r="F11" s="7">
        <v>99.427999999999997</v>
      </c>
      <c r="G11" s="7">
        <v>101.089</v>
      </c>
      <c r="H11" s="7">
        <v>98.858999999999995</v>
      </c>
      <c r="I11" s="7">
        <v>106.607</v>
      </c>
      <c r="J11" s="7">
        <f>+I11*1.05</f>
        <v>111.93735000000001</v>
      </c>
      <c r="K11" s="7">
        <f t="shared" ref="K11:M11" si="12">+J11*1.05</f>
        <v>117.53421750000001</v>
      </c>
      <c r="L11" s="7">
        <f t="shared" si="12"/>
        <v>123.41092837500001</v>
      </c>
      <c r="M11" s="7">
        <f t="shared" si="12"/>
        <v>129.58147479375</v>
      </c>
      <c r="O11" s="7">
        <v>219.999</v>
      </c>
      <c r="P11" s="7">
        <v>274.40100000000001</v>
      </c>
      <c r="Q11" s="7">
        <v>345.27300000000002</v>
      </c>
      <c r="R11" s="7">
        <v>405.983</v>
      </c>
      <c r="S11" s="13">
        <f>+SUM(J11:M11)</f>
        <v>482.46397066874999</v>
      </c>
      <c r="T11" s="13">
        <f>+S11*1.05</f>
        <v>506.58716920218751</v>
      </c>
      <c r="U11" s="13">
        <f t="shared" ref="U11:AC11" si="13">+T11*1.05</f>
        <v>531.91652766229686</v>
      </c>
      <c r="V11" s="13">
        <f t="shared" si="13"/>
        <v>558.51235404541171</v>
      </c>
      <c r="W11" s="13">
        <f t="shared" si="13"/>
        <v>586.43797174768235</v>
      </c>
      <c r="X11" s="13">
        <f t="shared" si="13"/>
        <v>615.75987033506647</v>
      </c>
      <c r="Y11" s="13">
        <f t="shared" si="13"/>
        <v>646.54786385181978</v>
      </c>
      <c r="Z11" s="13">
        <f t="shared" si="13"/>
        <v>678.87525704441077</v>
      </c>
      <c r="AA11" s="13">
        <f t="shared" si="13"/>
        <v>712.81901989663129</v>
      </c>
      <c r="AB11" s="13">
        <f t="shared" si="13"/>
        <v>748.45997089146283</v>
      </c>
      <c r="AC11" s="13">
        <f t="shared" si="13"/>
        <v>785.88296943603598</v>
      </c>
    </row>
    <row r="12" spans="1:29" x14ac:dyDescent="0.2">
      <c r="A12" t="s">
        <v>19</v>
      </c>
      <c r="B12" s="7">
        <v>19.736000000000001</v>
      </c>
      <c r="C12" s="7">
        <v>19.867999999999999</v>
      </c>
      <c r="D12" s="7">
        <v>20.738</v>
      </c>
      <c r="E12" s="7">
        <v>22.178000000000001</v>
      </c>
      <c r="F12" s="7">
        <v>20.175000000000001</v>
      </c>
      <c r="G12" s="7">
        <v>22.221</v>
      </c>
      <c r="H12" s="7">
        <v>24.641999999999999</v>
      </c>
      <c r="I12" s="7">
        <v>27.763000000000002</v>
      </c>
      <c r="J12" s="7">
        <f>+I12*1.05</f>
        <v>29.151150000000001</v>
      </c>
      <c r="K12" s="7">
        <f t="shared" ref="K12:M12" si="14">+J12*1.05</f>
        <v>30.608707500000001</v>
      </c>
      <c r="L12" s="7">
        <f t="shared" si="14"/>
        <v>32.139142875000005</v>
      </c>
      <c r="M12" s="7">
        <f t="shared" si="14"/>
        <v>33.746100018750006</v>
      </c>
      <c r="O12" s="7">
        <v>60.429000000000002</v>
      </c>
      <c r="P12" s="7">
        <v>71.424999999999997</v>
      </c>
      <c r="Q12" s="7">
        <v>82.52</v>
      </c>
      <c r="R12" s="7">
        <v>94.801000000000002</v>
      </c>
      <c r="S12" s="13">
        <f>+SUM(J12:M12)</f>
        <v>125.64510039375003</v>
      </c>
      <c r="T12" s="13">
        <f>+S12*1.05</f>
        <v>131.92735541343754</v>
      </c>
      <c r="U12" s="13">
        <f t="shared" ref="U12:AC12" si="15">+T12*1.05</f>
        <v>138.52372318410943</v>
      </c>
      <c r="V12" s="13">
        <f t="shared" si="15"/>
        <v>145.44990934331491</v>
      </c>
      <c r="W12" s="13">
        <f t="shared" si="15"/>
        <v>152.72240481048067</v>
      </c>
      <c r="X12" s="13">
        <f t="shared" si="15"/>
        <v>160.3585250510047</v>
      </c>
      <c r="Y12" s="13">
        <f t="shared" si="15"/>
        <v>168.37645130355494</v>
      </c>
      <c r="Z12" s="13">
        <f t="shared" si="15"/>
        <v>176.79527386873269</v>
      </c>
      <c r="AA12" s="13">
        <f t="shared" si="15"/>
        <v>185.63503756216934</v>
      </c>
      <c r="AB12" s="13">
        <f t="shared" si="15"/>
        <v>194.91678944027782</v>
      </c>
      <c r="AC12" s="13">
        <f t="shared" si="15"/>
        <v>204.66262891229172</v>
      </c>
    </row>
    <row r="13" spans="1:29" x14ac:dyDescent="0.2">
      <c r="A13" t="s">
        <v>20</v>
      </c>
      <c r="B13" s="7">
        <f t="shared" ref="B13:I13" si="16">SUM(B10:B12)</f>
        <v>140.61199999999999</v>
      </c>
      <c r="C13" s="7">
        <f t="shared" si="16"/>
        <v>153.637</v>
      </c>
      <c r="D13" s="7">
        <f t="shared" si="16"/>
        <v>159.47300000000001</v>
      </c>
      <c r="E13" s="7">
        <f t="shared" si="16"/>
        <v>164.392</v>
      </c>
      <c r="F13" s="7">
        <f t="shared" si="16"/>
        <v>171.85900000000001</v>
      </c>
      <c r="G13" s="7">
        <f t="shared" si="16"/>
        <v>176.97399999999999</v>
      </c>
      <c r="H13" s="7">
        <f t="shared" si="16"/>
        <v>175.23399999999998</v>
      </c>
      <c r="I13" s="7">
        <f t="shared" si="16"/>
        <v>188.16200000000001</v>
      </c>
      <c r="J13" s="7">
        <f t="shared" ref="J13:M13" si="17">SUM(J10:J12)</f>
        <v>197.57010000000002</v>
      </c>
      <c r="K13" s="7">
        <f t="shared" si="17"/>
        <v>207.44860500000001</v>
      </c>
      <c r="L13" s="7">
        <f t="shared" si="17"/>
        <v>217.82103525000002</v>
      </c>
      <c r="M13" s="7">
        <f t="shared" si="17"/>
        <v>228.71208701250004</v>
      </c>
      <c r="O13" s="7">
        <f>SUM(O10:O12)</f>
        <v>375.85400000000004</v>
      </c>
      <c r="P13" s="7">
        <f>SUM(P10:P12)</f>
        <v>487.94700000000006</v>
      </c>
      <c r="Q13" s="7">
        <f>SUM(Q10:Q12)</f>
        <v>618.11400000000003</v>
      </c>
      <c r="R13" s="7">
        <f>SUM(R10:R12)</f>
        <v>712.22900000000004</v>
      </c>
      <c r="S13" s="7">
        <f>SUM(S10:S12)</f>
        <v>851.55182726250007</v>
      </c>
      <c r="T13" s="7">
        <f t="shared" ref="T13:AC13" si="18">SUM(T10:T12)</f>
        <v>906.30155643562523</v>
      </c>
      <c r="U13" s="7">
        <f t="shared" si="18"/>
        <v>965.00598584840645</v>
      </c>
      <c r="V13" s="7">
        <f t="shared" si="18"/>
        <v>1027.9845718909266</v>
      </c>
      <c r="W13" s="7">
        <f t="shared" si="18"/>
        <v>1095.5849159105833</v>
      </c>
      <c r="X13" s="7">
        <f t="shared" si="18"/>
        <v>1168.1853886737335</v>
      </c>
      <c r="Y13" s="7">
        <f t="shared" si="18"/>
        <v>1246.1980077718031</v>
      </c>
      <c r="Z13" s="7">
        <f t="shared" si="18"/>
        <v>1330.0715927912149</v>
      </c>
      <c r="AA13" s="7">
        <f t="shared" si="18"/>
        <v>1420.2952255246794</v>
      </c>
      <c r="AB13" s="7">
        <f t="shared" si="18"/>
        <v>1517.4020452042071</v>
      </c>
      <c r="AC13" s="7">
        <f t="shared" si="18"/>
        <v>1621.9734117080409</v>
      </c>
    </row>
    <row r="14" spans="1:29" s="3" customFormat="1" x14ac:dyDescent="0.2">
      <c r="A14" s="3" t="s">
        <v>21</v>
      </c>
      <c r="B14" s="8">
        <f t="shared" ref="B14:I14" si="19">+B9-B13</f>
        <v>-41.083999999999975</v>
      </c>
      <c r="C14" s="8">
        <f t="shared" si="19"/>
        <v>-42.028999999999996</v>
      </c>
      <c r="D14" s="8">
        <f t="shared" si="19"/>
        <v>-39.268000000000029</v>
      </c>
      <c r="E14" s="8">
        <f t="shared" si="19"/>
        <v>-30.068999999999988</v>
      </c>
      <c r="F14" s="8">
        <f t="shared" si="19"/>
        <v>-46.099000000000018</v>
      </c>
      <c r="G14" s="8">
        <f t="shared" si="19"/>
        <v>-39.897999999999968</v>
      </c>
      <c r="H14" s="8">
        <f t="shared" si="19"/>
        <v>-25.736999999999995</v>
      </c>
      <c r="I14" s="8">
        <f t="shared" si="19"/>
        <v>-4.7109999999999843</v>
      </c>
      <c r="J14" s="8">
        <f t="shared" ref="J14:M14" si="20">+J9-J13</f>
        <v>-3.7569599999999923</v>
      </c>
      <c r="K14" s="8">
        <f t="shared" si="20"/>
        <v>-2.7314261999999871</v>
      </c>
      <c r="L14" s="8">
        <f t="shared" si="20"/>
        <v>-1.6303480739999827</v>
      </c>
      <c r="M14" s="8">
        <f t="shared" si="20"/>
        <v>-0.44946305298000766</v>
      </c>
      <c r="N14" s="4"/>
      <c r="O14" s="8">
        <f>+O9-O13</f>
        <v>6.0059999999999718</v>
      </c>
      <c r="P14" s="8">
        <f>+P9-P13</f>
        <v>-78.337000000000103</v>
      </c>
      <c r="Q14" s="8">
        <f>+Q9-Q13</f>
        <v>-152.44999999999999</v>
      </c>
      <c r="R14" s="8">
        <f>+R9-R13</f>
        <v>-116.47200000000009</v>
      </c>
      <c r="S14" s="8">
        <f>+S9-S13</f>
        <v>-8.5681973269799983</v>
      </c>
      <c r="T14" s="8">
        <f t="shared" ref="T14:AC14" si="21">+T9-T13</f>
        <v>160.76420534093347</v>
      </c>
      <c r="U14" s="8">
        <f t="shared" si="21"/>
        <v>384.42959887016718</v>
      </c>
      <c r="V14" s="8">
        <f t="shared" si="21"/>
        <v>677.06586652980445</v>
      </c>
      <c r="W14" s="8">
        <f t="shared" si="21"/>
        <v>1057.0876024166719</v>
      </c>
      <c r="X14" s="8">
        <f t="shared" si="21"/>
        <v>1547.6458394879051</v>
      </c>
      <c r="Y14" s="8">
        <f t="shared" si="21"/>
        <v>1869.6981598902044</v>
      </c>
      <c r="Z14" s="8">
        <f t="shared" si="21"/>
        <v>2244.6565986931573</v>
      </c>
      <c r="AA14" s="8">
        <f t="shared" si="21"/>
        <v>2680.6358851298346</v>
      </c>
      <c r="AB14" s="8">
        <f t="shared" si="21"/>
        <v>3186.961349872041</v>
      </c>
      <c r="AC14" s="8">
        <f t="shared" si="21"/>
        <v>3774.346855483207</v>
      </c>
    </row>
    <row r="15" spans="1:29" x14ac:dyDescent="0.2">
      <c r="A15" t="s">
        <v>22</v>
      </c>
      <c r="B15" s="7">
        <v>1.056</v>
      </c>
      <c r="C15" s="7">
        <v>1.5720000000000001</v>
      </c>
      <c r="D15" s="7">
        <v>3.641</v>
      </c>
      <c r="E15" s="7">
        <v>9.1630000000000003</v>
      </c>
      <c r="F15" s="7">
        <v>9.6059999999999999</v>
      </c>
      <c r="G15" s="7">
        <v>11.882</v>
      </c>
      <c r="H15" s="7">
        <v>12.423999999999999</v>
      </c>
      <c r="I15" s="7">
        <v>19.302</v>
      </c>
      <c r="J15" s="7">
        <f>+I32*0.01+I15</f>
        <v>26.758289999999999</v>
      </c>
      <c r="K15" s="7">
        <f t="shared" ref="K15:M15" si="22">+J32*0.01+J15</f>
        <v>34.375589310000002</v>
      </c>
      <c r="L15" s="7">
        <f t="shared" si="22"/>
        <v>42.214397761770002</v>
      </c>
      <c r="M15" s="7">
        <f t="shared" si="22"/>
        <v>50.337294561354398</v>
      </c>
      <c r="O15" s="7">
        <v>-6.3949999999999996</v>
      </c>
      <c r="P15" s="7">
        <v>-12.992000000000001</v>
      </c>
      <c r="Q15" s="7">
        <v>15.432</v>
      </c>
      <c r="R15" s="7">
        <v>53.213999999999999</v>
      </c>
      <c r="S15" s="13">
        <f>+R32*$AF$22+R15</f>
        <v>60.670290000000001</v>
      </c>
      <c r="T15" s="13">
        <f t="shared" ref="T15:AC15" si="23">+S32*$AF$22+S15</f>
        <v>68.491294648711147</v>
      </c>
      <c r="U15" s="13">
        <f t="shared" si="23"/>
        <v>77.917087797349794</v>
      </c>
      <c r="V15" s="13">
        <f t="shared" si="23"/>
        <v>90.579307752661066</v>
      </c>
      <c r="W15" s="13">
        <f t="shared" si="23"/>
        <v>108.6150439279496</v>
      </c>
      <c r="X15" s="13">
        <f t="shared" si="23"/>
        <v>134.81069862765048</v>
      </c>
      <c r="Y15" s="13">
        <f t="shared" si="23"/>
        <v>172.78354909416026</v>
      </c>
      <c r="Z15" s="13">
        <f t="shared" si="23"/>
        <v>225.05377152356058</v>
      </c>
      <c r="AA15" s="13">
        <f t="shared" si="23"/>
        <v>294.61196654447792</v>
      </c>
      <c r="AB15" s="13">
        <f t="shared" si="23"/>
        <v>384.9968965271155</v>
      </c>
      <c r="AC15" s="13">
        <f t="shared" si="23"/>
        <v>500.38553423454715</v>
      </c>
    </row>
    <row r="16" spans="1:29" x14ac:dyDescent="0.2">
      <c r="A16" t="s">
        <v>23</v>
      </c>
      <c r="B16" s="7">
        <f t="shared" ref="B16:I16" si="24">+B14+B15</f>
        <v>-40.027999999999977</v>
      </c>
      <c r="C16" s="7">
        <f t="shared" si="24"/>
        <v>-40.456999999999994</v>
      </c>
      <c r="D16" s="7">
        <f t="shared" si="24"/>
        <v>-35.627000000000031</v>
      </c>
      <c r="E16" s="7">
        <f t="shared" si="24"/>
        <v>-20.905999999999988</v>
      </c>
      <c r="F16" s="7">
        <f t="shared" si="24"/>
        <v>-36.493000000000016</v>
      </c>
      <c r="G16" s="7">
        <f t="shared" si="24"/>
        <v>-28.01599999999997</v>
      </c>
      <c r="H16" s="7">
        <f t="shared" si="24"/>
        <v>-13.312999999999995</v>
      </c>
      <c r="I16" s="7">
        <f t="shared" si="24"/>
        <v>14.591000000000015</v>
      </c>
      <c r="J16" s="7">
        <f t="shared" ref="J16:M16" si="25">+J14+J15</f>
        <v>23.001330000000006</v>
      </c>
      <c r="K16" s="7">
        <f t="shared" si="25"/>
        <v>31.644163110000015</v>
      </c>
      <c r="L16" s="7">
        <f t="shared" si="25"/>
        <v>40.584049687770019</v>
      </c>
      <c r="M16" s="7">
        <f t="shared" si="25"/>
        <v>49.88783150837439</v>
      </c>
      <c r="O16" s="7">
        <f>+O14+O15</f>
        <v>-0.38900000000002777</v>
      </c>
      <c r="P16" s="7">
        <f>+P14+P15</f>
        <v>-91.329000000000107</v>
      </c>
      <c r="Q16" s="7">
        <f>+Q14+Q15</f>
        <v>-137.018</v>
      </c>
      <c r="R16" s="7">
        <f>+R14+R15</f>
        <v>-63.258000000000095</v>
      </c>
      <c r="S16" s="7">
        <f>+S14+S15</f>
        <v>52.102092673020003</v>
      </c>
      <c r="T16" s="7">
        <f t="shared" ref="T16:AC16" si="26">+T14+T15</f>
        <v>229.25549998964462</v>
      </c>
      <c r="U16" s="7">
        <f t="shared" si="26"/>
        <v>462.34668666751696</v>
      </c>
      <c r="V16" s="7">
        <f t="shared" si="26"/>
        <v>767.64517428246552</v>
      </c>
      <c r="W16" s="7">
        <f t="shared" si="26"/>
        <v>1165.7026463446214</v>
      </c>
      <c r="X16" s="7">
        <f t="shared" si="26"/>
        <v>1682.4565381155555</v>
      </c>
      <c r="Y16" s="7">
        <f t="shared" si="26"/>
        <v>2042.4817089843646</v>
      </c>
      <c r="Z16" s="7">
        <f t="shared" si="26"/>
        <v>2469.7103702167178</v>
      </c>
      <c r="AA16" s="7">
        <f t="shared" si="26"/>
        <v>2975.2478516743126</v>
      </c>
      <c r="AB16" s="7">
        <f t="shared" si="26"/>
        <v>3571.9582463991565</v>
      </c>
      <c r="AC16" s="7">
        <f t="shared" si="26"/>
        <v>4274.7323897177539</v>
      </c>
    </row>
    <row r="17" spans="1:130" x14ac:dyDescent="0.2">
      <c r="A17" t="s">
        <v>24</v>
      </c>
      <c r="B17" s="7">
        <v>-2.2170000000000001</v>
      </c>
      <c r="C17" s="7">
        <v>-2.8290000000000002</v>
      </c>
      <c r="D17" s="7">
        <v>-2.9020000000000001</v>
      </c>
      <c r="E17" s="7">
        <v>1.298</v>
      </c>
      <c r="F17" s="7">
        <v>-1.492</v>
      </c>
      <c r="G17" s="7">
        <v>-2.238</v>
      </c>
      <c r="H17" s="7">
        <v>1.296</v>
      </c>
      <c r="I17" s="7">
        <v>5.68</v>
      </c>
      <c r="J17" s="7">
        <f>+J16*0.3</f>
        <v>6.9003990000000019</v>
      </c>
      <c r="K17" s="7">
        <f t="shared" ref="K17:M17" si="27">+K16*0.3</f>
        <v>9.4932489330000038</v>
      </c>
      <c r="L17" s="7">
        <f t="shared" si="27"/>
        <v>12.175214906331005</v>
      </c>
      <c r="M17" s="7">
        <f t="shared" si="27"/>
        <v>14.966349452512317</v>
      </c>
      <c r="O17" s="7">
        <v>5.3689999999999998</v>
      </c>
      <c r="P17" s="7">
        <v>-7.383</v>
      </c>
      <c r="Q17" s="7">
        <v>-6.65</v>
      </c>
      <c r="R17" s="7">
        <v>3.246</v>
      </c>
      <c r="S17" s="13">
        <f>+S16*0.3</f>
        <v>15.630627801906</v>
      </c>
      <c r="T17" s="13">
        <f t="shared" ref="T17:AC17" si="28">+T16*0.3</f>
        <v>68.776649996893383</v>
      </c>
      <c r="U17" s="13">
        <f t="shared" si="28"/>
        <v>138.70400600025508</v>
      </c>
      <c r="V17" s="13">
        <f t="shared" si="28"/>
        <v>230.29355228473963</v>
      </c>
      <c r="W17" s="13">
        <f t="shared" si="28"/>
        <v>349.71079390338639</v>
      </c>
      <c r="X17" s="13">
        <f t="shared" si="28"/>
        <v>504.73696143466663</v>
      </c>
      <c r="Y17" s="13">
        <f t="shared" si="28"/>
        <v>612.74451269530937</v>
      </c>
      <c r="Z17" s="13">
        <f t="shared" si="28"/>
        <v>740.9131110650153</v>
      </c>
      <c r="AA17" s="13">
        <f t="shared" si="28"/>
        <v>892.57435550229377</v>
      </c>
      <c r="AB17" s="13">
        <f t="shared" si="28"/>
        <v>1071.5874739197468</v>
      </c>
      <c r="AC17" s="13">
        <f t="shared" si="28"/>
        <v>1282.419716915326</v>
      </c>
    </row>
    <row r="18" spans="1:130" s="3" customFormat="1" x14ac:dyDescent="0.2">
      <c r="A18" s="3" t="s">
        <v>25</v>
      </c>
      <c r="B18" s="8">
        <f t="shared" ref="B18:I18" si="29">+B16-B17</f>
        <v>-37.810999999999979</v>
      </c>
      <c r="C18" s="8">
        <f t="shared" si="29"/>
        <v>-37.627999999999993</v>
      </c>
      <c r="D18" s="8">
        <f t="shared" si="29"/>
        <v>-32.72500000000003</v>
      </c>
      <c r="E18" s="8">
        <f t="shared" si="29"/>
        <v>-22.203999999999986</v>
      </c>
      <c r="F18" s="8">
        <f t="shared" si="29"/>
        <v>-35.001000000000019</v>
      </c>
      <c r="G18" s="8">
        <f t="shared" si="29"/>
        <v>-25.77799999999997</v>
      </c>
      <c r="H18" s="8">
        <f t="shared" si="29"/>
        <v>-14.608999999999995</v>
      </c>
      <c r="I18" s="8">
        <f t="shared" si="29"/>
        <v>8.9110000000000156</v>
      </c>
      <c r="J18" s="8">
        <f t="shared" ref="J18:M18" si="30">+J16-J17</f>
        <v>16.100931000000003</v>
      </c>
      <c r="K18" s="8">
        <f t="shared" si="30"/>
        <v>22.150914177000011</v>
      </c>
      <c r="L18" s="8">
        <f t="shared" si="30"/>
        <v>28.408834781439012</v>
      </c>
      <c r="M18" s="8">
        <f t="shared" si="30"/>
        <v>34.921482055862072</v>
      </c>
      <c r="N18" s="4"/>
      <c r="O18" s="8">
        <f>+O16-O17</f>
        <v>-5.7580000000000275</v>
      </c>
      <c r="P18" s="8">
        <f>+P16-P17</f>
        <v>-83.946000000000112</v>
      </c>
      <c r="Q18" s="8">
        <f>+Q16-Q17</f>
        <v>-130.36799999999999</v>
      </c>
      <c r="R18" s="8">
        <f>+R16-R17</f>
        <v>-66.50400000000009</v>
      </c>
      <c r="S18" s="8">
        <f>+S16-S17</f>
        <v>36.471464871114001</v>
      </c>
      <c r="T18" s="8">
        <f t="shared" ref="T18:AC18" si="31">+T16-T17</f>
        <v>160.47884999275124</v>
      </c>
      <c r="U18" s="8">
        <f t="shared" si="31"/>
        <v>323.64268066726186</v>
      </c>
      <c r="V18" s="8">
        <f t="shared" si="31"/>
        <v>537.35162199772594</v>
      </c>
      <c r="W18" s="8">
        <f t="shared" si="31"/>
        <v>815.99185244123498</v>
      </c>
      <c r="X18" s="8">
        <f t="shared" si="31"/>
        <v>1177.7195766808888</v>
      </c>
      <c r="Y18" s="8">
        <f t="shared" si="31"/>
        <v>1429.7371962890552</v>
      </c>
      <c r="Z18" s="8">
        <f t="shared" si="31"/>
        <v>1728.7972591517025</v>
      </c>
      <c r="AA18" s="8">
        <f t="shared" si="31"/>
        <v>2082.673496172019</v>
      </c>
      <c r="AB18" s="8">
        <f t="shared" si="31"/>
        <v>2500.3707724794094</v>
      </c>
      <c r="AC18" s="8">
        <f t="shared" si="31"/>
        <v>2992.3126728024281</v>
      </c>
      <c r="AD18" s="14">
        <f>+AC18*(1+$AF$23)</f>
        <v>2932.4664193463796</v>
      </c>
      <c r="AE18" s="14">
        <f t="shared" ref="AE18:CP18" si="32">+AD18*(1+$AF$23)</f>
        <v>2873.8170909594519</v>
      </c>
      <c r="AF18" s="14">
        <f t="shared" si="32"/>
        <v>2816.3407491402627</v>
      </c>
      <c r="AG18" s="14">
        <f t="shared" si="32"/>
        <v>2760.0139341574572</v>
      </c>
      <c r="AH18" s="14">
        <f t="shared" si="32"/>
        <v>2704.8136554743082</v>
      </c>
      <c r="AI18" s="14">
        <f t="shared" si="32"/>
        <v>2650.7173823648222</v>
      </c>
      <c r="AJ18" s="14">
        <f t="shared" si="32"/>
        <v>2597.703034717526</v>
      </c>
      <c r="AK18" s="14">
        <f t="shared" si="32"/>
        <v>2545.7489740231754</v>
      </c>
      <c r="AL18" s="14">
        <f t="shared" si="32"/>
        <v>2494.8339945427119</v>
      </c>
      <c r="AM18" s="14">
        <f t="shared" si="32"/>
        <v>2444.9373146518578</v>
      </c>
      <c r="AN18" s="14">
        <f t="shared" si="32"/>
        <v>2396.0385683588206</v>
      </c>
      <c r="AO18" s="14">
        <f t="shared" si="32"/>
        <v>2348.1177969916444</v>
      </c>
      <c r="AP18" s="14">
        <f t="shared" si="32"/>
        <v>2301.1554410518115</v>
      </c>
      <c r="AQ18" s="14">
        <f t="shared" si="32"/>
        <v>2255.1323322307753</v>
      </c>
      <c r="AR18" s="14">
        <f t="shared" si="32"/>
        <v>2210.0296855861598</v>
      </c>
      <c r="AS18" s="14">
        <f t="shared" si="32"/>
        <v>2165.8290918744365</v>
      </c>
      <c r="AT18" s="14">
        <f t="shared" si="32"/>
        <v>2122.5125100369478</v>
      </c>
      <c r="AU18" s="14">
        <f t="shared" si="32"/>
        <v>2080.0622598362088</v>
      </c>
      <c r="AV18" s="14">
        <f t="shared" si="32"/>
        <v>2038.4610146394846</v>
      </c>
      <c r="AW18" s="14">
        <f t="shared" si="32"/>
        <v>1997.6917943466949</v>
      </c>
      <c r="AX18" s="14">
        <f t="shared" si="32"/>
        <v>1957.7379584597609</v>
      </c>
      <c r="AY18" s="14">
        <f t="shared" si="32"/>
        <v>1918.5831992905655</v>
      </c>
      <c r="AZ18" s="14">
        <f t="shared" si="32"/>
        <v>1880.2115353047541</v>
      </c>
      <c r="BA18" s="14">
        <f t="shared" si="32"/>
        <v>1842.6073045986589</v>
      </c>
      <c r="BB18" s="14">
        <f t="shared" si="32"/>
        <v>1805.7551585066856</v>
      </c>
      <c r="BC18" s="14">
        <f t="shared" si="32"/>
        <v>1769.6400553365518</v>
      </c>
      <c r="BD18" s="14">
        <f t="shared" si="32"/>
        <v>1734.2472542298208</v>
      </c>
      <c r="BE18" s="14">
        <f t="shared" si="32"/>
        <v>1699.5623091452244</v>
      </c>
      <c r="BF18" s="14">
        <f t="shared" si="32"/>
        <v>1665.57106296232</v>
      </c>
      <c r="BG18" s="14">
        <f t="shared" si="32"/>
        <v>1632.2596417030736</v>
      </c>
      <c r="BH18" s="14">
        <f t="shared" si="32"/>
        <v>1599.6144488690122</v>
      </c>
      <c r="BI18" s="14">
        <f t="shared" si="32"/>
        <v>1567.622159891632</v>
      </c>
      <c r="BJ18" s="14">
        <f t="shared" si="32"/>
        <v>1536.2697166937994</v>
      </c>
      <c r="BK18" s="14">
        <f t="shared" si="32"/>
        <v>1505.5443223599234</v>
      </c>
      <c r="BL18" s="14">
        <f t="shared" si="32"/>
        <v>1475.4334359127249</v>
      </c>
      <c r="BM18" s="14">
        <f t="shared" si="32"/>
        <v>1445.9247671944704</v>
      </c>
      <c r="BN18" s="14">
        <f t="shared" si="32"/>
        <v>1417.006271850581</v>
      </c>
      <c r="BO18" s="14">
        <f t="shared" si="32"/>
        <v>1388.6661464135693</v>
      </c>
      <c r="BP18" s="14">
        <f t="shared" si="32"/>
        <v>1360.8928234852979</v>
      </c>
      <c r="BQ18" s="14">
        <f t="shared" si="32"/>
        <v>1333.6749670155918</v>
      </c>
      <c r="BR18" s="14">
        <f t="shared" si="32"/>
        <v>1307.0014676752801</v>
      </c>
      <c r="BS18" s="14">
        <f t="shared" si="32"/>
        <v>1280.8614383217744</v>
      </c>
      <c r="BT18" s="14">
        <f t="shared" si="32"/>
        <v>1255.2442095553388</v>
      </c>
      <c r="BU18" s="14">
        <f t="shared" si="32"/>
        <v>1230.139325364232</v>
      </c>
      <c r="BV18" s="14">
        <f t="shared" si="32"/>
        <v>1205.5365388569473</v>
      </c>
      <c r="BW18" s="14">
        <f t="shared" si="32"/>
        <v>1181.4258080798083</v>
      </c>
      <c r="BX18" s="14">
        <f t="shared" si="32"/>
        <v>1157.7972919182121</v>
      </c>
      <c r="BY18" s="14">
        <f t="shared" si="32"/>
        <v>1134.6413460798478</v>
      </c>
      <c r="BZ18" s="14">
        <f t="shared" si="32"/>
        <v>1111.9485191582507</v>
      </c>
      <c r="CA18" s="14">
        <f t="shared" si="32"/>
        <v>1089.7095487750858</v>
      </c>
      <c r="CB18" s="14">
        <f t="shared" si="32"/>
        <v>1067.9153577995839</v>
      </c>
      <c r="CC18" s="14">
        <f t="shared" si="32"/>
        <v>1046.5570506435922</v>
      </c>
      <c r="CD18" s="14">
        <f t="shared" si="32"/>
        <v>1025.6259096307203</v>
      </c>
      <c r="CE18" s="14">
        <f t="shared" si="32"/>
        <v>1005.113391438106</v>
      </c>
      <c r="CF18" s="14">
        <f t="shared" si="32"/>
        <v>985.01112360934383</v>
      </c>
      <c r="CG18" s="14">
        <f t="shared" si="32"/>
        <v>965.31090113715697</v>
      </c>
      <c r="CH18" s="14">
        <f t="shared" si="32"/>
        <v>946.00468311441387</v>
      </c>
      <c r="CI18" s="14">
        <f t="shared" si="32"/>
        <v>927.08458945212556</v>
      </c>
      <c r="CJ18" s="14">
        <f t="shared" si="32"/>
        <v>908.54289766308307</v>
      </c>
      <c r="CK18" s="14">
        <f t="shared" si="32"/>
        <v>890.37203970982137</v>
      </c>
      <c r="CL18" s="14">
        <f t="shared" si="32"/>
        <v>872.56459891562497</v>
      </c>
      <c r="CM18" s="14">
        <f t="shared" si="32"/>
        <v>855.11330693731247</v>
      </c>
      <c r="CN18" s="14">
        <f t="shared" si="32"/>
        <v>838.01104079856623</v>
      </c>
      <c r="CO18" s="14">
        <f t="shared" si="32"/>
        <v>821.25081998259486</v>
      </c>
      <c r="CP18" s="14">
        <f t="shared" si="32"/>
        <v>804.82580358294297</v>
      </c>
      <c r="CQ18" s="14">
        <f t="shared" ref="CQ18:DZ18" si="33">+CP18*(1+$AF$23)</f>
        <v>788.72928751128404</v>
      </c>
      <c r="CR18" s="14">
        <f t="shared" si="33"/>
        <v>772.95470176105835</v>
      </c>
      <c r="CS18" s="14">
        <f t="shared" si="33"/>
        <v>757.4956077258372</v>
      </c>
      <c r="CT18" s="14">
        <f t="shared" si="33"/>
        <v>742.34569557132045</v>
      </c>
      <c r="CU18" s="14">
        <f t="shared" si="33"/>
        <v>727.49878165989401</v>
      </c>
      <c r="CV18" s="14">
        <f t="shared" si="33"/>
        <v>712.94880602669616</v>
      </c>
      <c r="CW18" s="14">
        <f t="shared" si="33"/>
        <v>698.68982990616223</v>
      </c>
      <c r="CX18" s="14">
        <f t="shared" si="33"/>
        <v>684.71603330803896</v>
      </c>
      <c r="CY18" s="14">
        <f t="shared" si="33"/>
        <v>671.02171264187814</v>
      </c>
      <c r="CZ18" s="14">
        <f t="shared" si="33"/>
        <v>657.60127838904054</v>
      </c>
      <c r="DA18" s="14">
        <f t="shared" si="33"/>
        <v>644.44925282125973</v>
      </c>
      <c r="DB18" s="14">
        <f t="shared" si="33"/>
        <v>631.56026776483452</v>
      </c>
      <c r="DC18" s="14">
        <f t="shared" si="33"/>
        <v>618.92906240953778</v>
      </c>
      <c r="DD18" s="14">
        <f t="shared" si="33"/>
        <v>606.55048116134697</v>
      </c>
      <c r="DE18" s="14">
        <f t="shared" si="33"/>
        <v>594.41947153811998</v>
      </c>
      <c r="DF18" s="14">
        <f t="shared" si="33"/>
        <v>582.53108210735752</v>
      </c>
      <c r="DG18" s="14">
        <f t="shared" si="33"/>
        <v>570.88046046521038</v>
      </c>
      <c r="DH18" s="14">
        <f t="shared" si="33"/>
        <v>559.46285125590612</v>
      </c>
      <c r="DI18" s="14">
        <f t="shared" si="33"/>
        <v>548.27359423078804</v>
      </c>
      <c r="DJ18" s="14">
        <f t="shared" si="33"/>
        <v>537.30812234617224</v>
      </c>
      <c r="DK18" s="14">
        <f t="shared" si="33"/>
        <v>526.56195989924879</v>
      </c>
      <c r="DL18" s="14">
        <f t="shared" si="33"/>
        <v>516.03072070126382</v>
      </c>
      <c r="DM18" s="14">
        <f t="shared" si="33"/>
        <v>505.71010628723855</v>
      </c>
      <c r="DN18" s="14">
        <f t="shared" si="33"/>
        <v>495.59590416149376</v>
      </c>
      <c r="DO18" s="14">
        <f t="shared" si="33"/>
        <v>485.6839860782639</v>
      </c>
      <c r="DP18" s="14">
        <f t="shared" si="33"/>
        <v>475.97030635669859</v>
      </c>
      <c r="DQ18" s="14">
        <f t="shared" si="33"/>
        <v>466.45090022956458</v>
      </c>
      <c r="DR18" s="14">
        <f t="shared" si="33"/>
        <v>457.12188222497326</v>
      </c>
      <c r="DS18" s="14">
        <f t="shared" si="33"/>
        <v>447.9794445804738</v>
      </c>
      <c r="DT18" s="14">
        <f t="shared" si="33"/>
        <v>439.01985568886431</v>
      </c>
      <c r="DU18" s="14">
        <f t="shared" si="33"/>
        <v>430.23945857508704</v>
      </c>
      <c r="DV18" s="14">
        <f t="shared" si="33"/>
        <v>421.63466940358529</v>
      </c>
      <c r="DW18" s="14">
        <f t="shared" si="33"/>
        <v>413.20197601551359</v>
      </c>
      <c r="DX18" s="14">
        <f t="shared" si="33"/>
        <v>404.9379364952033</v>
      </c>
      <c r="DY18" s="14">
        <f t="shared" si="33"/>
        <v>396.83917776529921</v>
      </c>
      <c r="DZ18" s="14">
        <f t="shared" si="33"/>
        <v>388.90239420999325</v>
      </c>
    </row>
    <row r="19" spans="1:130" x14ac:dyDescent="0.2">
      <c r="A19" t="s">
        <v>26</v>
      </c>
      <c r="B19" s="10">
        <f t="shared" ref="B19:I19" si="34">+B18/B20</f>
        <v>-0.94129021261069923</v>
      </c>
      <c r="C19" s="10">
        <f t="shared" si="34"/>
        <v>-0.92868314196499402</v>
      </c>
      <c r="D19" s="10">
        <f t="shared" si="34"/>
        <v>-0.80140292653492307</v>
      </c>
      <c r="E19" s="10">
        <f t="shared" si="34"/>
        <v>-0.54257092506974292</v>
      </c>
      <c r="F19" s="10">
        <f t="shared" si="34"/>
        <v>-0.85019829579948747</v>
      </c>
      <c r="G19" s="10">
        <f t="shared" si="34"/>
        <v>-0.61967293538429991</v>
      </c>
      <c r="H19" s="10">
        <f t="shared" si="34"/>
        <v>-0.34866871867837812</v>
      </c>
      <c r="I19" s="10">
        <f t="shared" si="34"/>
        <v>0.18916391164391685</v>
      </c>
      <c r="J19" s="10">
        <f t="shared" ref="J19:M19" si="35">+J18/J20</f>
        <v>0.34179273808425509</v>
      </c>
      <c r="K19" s="10">
        <f t="shared" si="35"/>
        <v>0.47022259816070117</v>
      </c>
      <c r="L19" s="10">
        <f t="shared" si="35"/>
        <v>0.60306658203375063</v>
      </c>
      <c r="M19" s="10">
        <f t="shared" si="35"/>
        <v>0.74131793806415769</v>
      </c>
      <c r="O19" s="10">
        <f>+O18/O20</f>
        <v>-0.14905988464038661</v>
      </c>
      <c r="P19" s="10">
        <f>+P18/P20</f>
        <v>-2.1174181059300823</v>
      </c>
      <c r="Q19" s="10">
        <f>+Q18/Q20</f>
        <v>-3.2123794094877454</v>
      </c>
      <c r="R19" s="10">
        <f>+R18/R20</f>
        <v>-1.5964118085696208</v>
      </c>
      <c r="S19" s="10">
        <f t="shared" ref="S19:V19" si="36">+S18/S20</f>
        <v>0.84998868884853429</v>
      </c>
      <c r="T19" s="10">
        <f t="shared" si="36"/>
        <v>3.6311193026806952</v>
      </c>
      <c r="U19" s="10">
        <f t="shared" si="36"/>
        <v>7.1097000650658977</v>
      </c>
      <c r="V19" s="10">
        <f t="shared" si="36"/>
        <v>11.46058613070592</v>
      </c>
    </row>
    <row r="20" spans="1:130" x14ac:dyDescent="0.2">
      <c r="A20" t="s">
        <v>27</v>
      </c>
      <c r="B20" s="7">
        <v>40.169333000000002</v>
      </c>
      <c r="C20" s="7">
        <v>40.517586999999999</v>
      </c>
      <c r="D20" s="7">
        <v>40.83464</v>
      </c>
      <c r="E20" s="7">
        <v>40.923681999999999</v>
      </c>
      <c r="F20" s="7">
        <v>41.168042999999997</v>
      </c>
      <c r="G20" s="7">
        <v>41.599364000000001</v>
      </c>
      <c r="H20" s="7">
        <v>41.899371000000002</v>
      </c>
      <c r="I20" s="7">
        <v>47.107294000000003</v>
      </c>
      <c r="J20" s="7">
        <v>47.107294000000003</v>
      </c>
      <c r="K20" s="7">
        <v>47.107294000000003</v>
      </c>
      <c r="L20" s="7">
        <v>47.107294000000003</v>
      </c>
      <c r="M20" s="7">
        <v>47.107294000000003</v>
      </c>
      <c r="O20" s="7">
        <v>38.628770000000003</v>
      </c>
      <c r="P20" s="7">
        <v>39.645453000000003</v>
      </c>
      <c r="Q20" s="7">
        <v>40.583002</v>
      </c>
      <c r="R20" s="7">
        <v>41.658423999999997</v>
      </c>
      <c r="S20" s="13">
        <f>+R20*1.03</f>
        <v>42.90817672</v>
      </c>
      <c r="T20" s="13">
        <f t="shared" ref="T20:V20" si="37">+S20*1.03</f>
        <v>44.195422021600002</v>
      </c>
      <c r="U20" s="13">
        <f t="shared" si="37"/>
        <v>45.521284682248002</v>
      </c>
      <c r="V20" s="13">
        <f t="shared" si="37"/>
        <v>46.886923222715446</v>
      </c>
    </row>
    <row r="21" spans="1:130" x14ac:dyDescent="0.2">
      <c r="B21" s="7"/>
      <c r="C21" s="7"/>
      <c r="D21" s="7"/>
      <c r="E21" s="7"/>
      <c r="F21" s="7"/>
      <c r="G21" s="7"/>
      <c r="H21" s="7"/>
      <c r="I21" s="7"/>
      <c r="O21" s="7"/>
      <c r="P21" s="5"/>
      <c r="Q21" s="5"/>
      <c r="R21" s="5"/>
    </row>
    <row r="22" spans="1:130" s="6" customFormat="1" x14ac:dyDescent="0.2">
      <c r="A22" s="6" t="s">
        <v>28</v>
      </c>
      <c r="B22" s="5">
        <f t="shared" ref="B22:I22" si="38">+B9/B7</f>
        <v>0.78023235759865794</v>
      </c>
      <c r="C22" s="5">
        <f t="shared" si="38"/>
        <v>0.78416604017508984</v>
      </c>
      <c r="D22" s="5">
        <f t="shared" si="38"/>
        <v>0.78735180454575227</v>
      </c>
      <c r="E22" s="5">
        <f t="shared" si="38"/>
        <v>0.79410112857742488</v>
      </c>
      <c r="F22" s="5">
        <f t="shared" si="38"/>
        <v>0.77771250115951884</v>
      </c>
      <c r="G22" s="5">
        <f t="shared" si="38"/>
        <v>0.77953629089585597</v>
      </c>
      <c r="H22" s="5">
        <f t="shared" si="38"/>
        <v>0.78174088560731236</v>
      </c>
      <c r="I22" s="5">
        <f t="shared" si="38"/>
        <v>0.82226674555364321</v>
      </c>
      <c r="J22" s="5">
        <f t="shared" ref="J22:M22" si="39">+J9/J7</f>
        <v>0.82734483853782481</v>
      </c>
      <c r="K22" s="5">
        <f t="shared" si="39"/>
        <v>0.83227784315102982</v>
      </c>
      <c r="L22" s="5">
        <f t="shared" si="39"/>
        <v>0.83706990477528609</v>
      </c>
      <c r="M22" s="5">
        <f t="shared" si="39"/>
        <v>0.84172505035313505</v>
      </c>
      <c r="N22" s="5"/>
      <c r="O22" s="5">
        <f>+O9/O7</f>
        <v>0.82221040369828891</v>
      </c>
      <c r="P22" s="5">
        <f>+P9/P7</f>
        <v>0.81446839140454586</v>
      </c>
      <c r="Q22" s="5">
        <f>+Q9/Q7</f>
        <v>0.78698010849909583</v>
      </c>
      <c r="R22" s="5">
        <f>+R9/R7</f>
        <v>0.79234806247739031</v>
      </c>
      <c r="S22" s="5">
        <f>+S9/S7</f>
        <v>0.83489646014354735</v>
      </c>
      <c r="T22" s="5">
        <f t="shared" ref="T22:AC22" si="40">+T9/T7</f>
        <v>0.84546308669436043</v>
      </c>
      <c r="U22" s="5">
        <f t="shared" si="40"/>
        <v>0.85535344914592126</v>
      </c>
      <c r="V22" s="5">
        <f t="shared" si="40"/>
        <v>0.86461082840058234</v>
      </c>
      <c r="W22" s="5">
        <f t="shared" si="40"/>
        <v>0.87327573538294501</v>
      </c>
      <c r="X22" s="5">
        <f t="shared" si="40"/>
        <v>0.88138608831843657</v>
      </c>
      <c r="Y22" s="5">
        <f t="shared" si="40"/>
        <v>0.87932323768049636</v>
      </c>
      <c r="Z22" s="5">
        <f t="shared" si="40"/>
        <v>0.87722451137928759</v>
      </c>
      <c r="AA22" s="5">
        <f t="shared" si="40"/>
        <v>0.87508928549023179</v>
      </c>
      <c r="AB22" s="5">
        <f t="shared" si="40"/>
        <v>0.87291692523788789</v>
      </c>
      <c r="AC22" s="5">
        <f t="shared" si="40"/>
        <v>0.87070678480724251</v>
      </c>
      <c r="AE22" s="6" t="s">
        <v>41</v>
      </c>
      <c r="AF22" s="6">
        <v>0.01</v>
      </c>
    </row>
    <row r="23" spans="1:130" s="6" customFormat="1" x14ac:dyDescent="0.2">
      <c r="A23" s="6" t="s">
        <v>29</v>
      </c>
      <c r="B23" s="5">
        <f t="shared" ref="B23:I23" si="41">+B14/B7</f>
        <v>-0.32207083614242465</v>
      </c>
      <c r="C23" s="5">
        <f t="shared" si="41"/>
        <v>-0.29529885404736977</v>
      </c>
      <c r="D23" s="5">
        <f t="shared" si="41"/>
        <v>-0.25720835789611601</v>
      </c>
      <c r="E23" s="5">
        <f t="shared" si="41"/>
        <v>-0.17776424614693373</v>
      </c>
      <c r="F23" s="5">
        <f t="shared" si="41"/>
        <v>-0.285080857116354</v>
      </c>
      <c r="G23" s="5">
        <f t="shared" si="41"/>
        <v>-0.22689558299164575</v>
      </c>
      <c r="H23" s="5">
        <f t="shared" si="41"/>
        <v>-0.13458240080319603</v>
      </c>
      <c r="I23" s="5">
        <f t="shared" si="41"/>
        <v>-2.1115712851405552E-2</v>
      </c>
      <c r="J23" s="5">
        <f t="shared" ref="J23:M23" si="42">+J14/J7</f>
        <v>-1.6037619867223962E-2</v>
      </c>
      <c r="K23" s="5">
        <f t="shared" si="42"/>
        <v>-1.1104615254018938E-2</v>
      </c>
      <c r="L23" s="5">
        <f t="shared" si="42"/>
        <v>-6.3125536297626312E-3</v>
      </c>
      <c r="M23" s="5">
        <f t="shared" si="42"/>
        <v>-1.6574080519137578E-3</v>
      </c>
      <c r="N23" s="5"/>
      <c r="O23" s="5">
        <f>+O14/O7</f>
        <v>1.2931953293384748E-2</v>
      </c>
      <c r="P23" s="5">
        <f>+P14/P7</f>
        <v>-0.155765265441415</v>
      </c>
      <c r="Q23" s="5">
        <f>+Q14/Q7</f>
        <v>-0.25764310219533215</v>
      </c>
      <c r="R23" s="5">
        <f>+R14/R7</f>
        <v>-0.15490604983720993</v>
      </c>
      <c r="S23" s="5">
        <f>+S14/S7</f>
        <v>-8.4859982615014505E-3</v>
      </c>
      <c r="T23" s="5">
        <f t="shared" ref="T23:AC23" si="43">+T14/T7</f>
        <v>0.12737753018259901</v>
      </c>
      <c r="U23" s="5">
        <f t="shared" si="43"/>
        <v>0.24367460519870382</v>
      </c>
      <c r="V23" s="5">
        <f t="shared" si="43"/>
        <v>0.34333206018486229</v>
      </c>
      <c r="W23" s="5">
        <f t="shared" si="43"/>
        <v>0.42882925549768958</v>
      </c>
      <c r="X23" s="5">
        <f t="shared" si="43"/>
        <v>0.50226740838085759</v>
      </c>
      <c r="Y23" s="5">
        <f t="shared" si="43"/>
        <v>0.52763922511369732</v>
      </c>
      <c r="Z23" s="5">
        <f t="shared" si="43"/>
        <v>0.55083007225376246</v>
      </c>
      <c r="AA23" s="5">
        <f t="shared" si="43"/>
        <v>0.57201539798686107</v>
      </c>
      <c r="AB23" s="5">
        <f t="shared" si="43"/>
        <v>0.59135578371644926</v>
      </c>
      <c r="AC23" s="5">
        <f t="shared" si="43"/>
        <v>0.60899821592605996</v>
      </c>
      <c r="AE23" s="6" t="s">
        <v>42</v>
      </c>
      <c r="AF23" s="6">
        <v>-0.02</v>
      </c>
    </row>
    <row r="24" spans="1:130" s="6" customFormat="1" x14ac:dyDescent="0.2">
      <c r="A24" s="6" t="s">
        <v>30</v>
      </c>
      <c r="B24" s="5">
        <f t="shared" ref="B24:I24" si="44">+B18/B7</f>
        <v>-0.29641272479264963</v>
      </c>
      <c r="C24" s="5">
        <f t="shared" si="44"/>
        <v>-0.26437710343083176</v>
      </c>
      <c r="D24" s="5">
        <f t="shared" si="44"/>
        <v>-0.21435121503897317</v>
      </c>
      <c r="E24" s="5">
        <f t="shared" si="44"/>
        <v>-0.1312673291910777</v>
      </c>
      <c r="F24" s="5">
        <f t="shared" si="44"/>
        <v>-0.21644970780124315</v>
      </c>
      <c r="G24" s="5">
        <f t="shared" si="44"/>
        <v>-0.14659667999294806</v>
      </c>
      <c r="H24" s="5">
        <f t="shared" si="44"/>
        <v>-7.639252023677548E-2</v>
      </c>
      <c r="I24" s="5">
        <f t="shared" si="44"/>
        <v>3.9941014056224966E-2</v>
      </c>
      <c r="J24" s="5">
        <f t="shared" ref="J24:M24" si="45">+J18/J7</f>
        <v>6.8731264343086643E-2</v>
      </c>
      <c r="K24" s="5">
        <f t="shared" si="45"/>
        <v>9.0054558113406041E-2</v>
      </c>
      <c r="L24" s="5">
        <f t="shared" si="45"/>
        <v>0.1099963228569445</v>
      </c>
      <c r="M24" s="5">
        <f t="shared" si="45"/>
        <v>0.12877397855151868</v>
      </c>
      <c r="N24" s="5"/>
      <c r="O24" s="5">
        <f>+O18/O7</f>
        <v>-1.2397966544007674E-2</v>
      </c>
      <c r="P24" s="5">
        <f>+P18/P7</f>
        <v>-0.16691819922571741</v>
      </c>
      <c r="Q24" s="5">
        <f>+Q18/Q7</f>
        <v>-0.22032414527386723</v>
      </c>
      <c r="R24" s="5">
        <f>+R18/R7</f>
        <v>-8.8449343519247672E-2</v>
      </c>
      <c r="S24" s="5">
        <f>+S18/S7</f>
        <v>3.6121575598653005E-2</v>
      </c>
      <c r="T24" s="5">
        <f t="shared" ref="T24:AC24" si="46">+T18/T7</f>
        <v>0.12715143595099584</v>
      </c>
      <c r="U24" s="5">
        <f t="shared" si="46"/>
        <v>0.20514419979321014</v>
      </c>
      <c r="V24" s="5">
        <f t="shared" si="46"/>
        <v>0.27248462600800061</v>
      </c>
      <c r="W24" s="5">
        <f t="shared" si="46"/>
        <v>0.3310238222211474</v>
      </c>
      <c r="X24" s="5">
        <f t="shared" si="46"/>
        <v>0.38221287098516027</v>
      </c>
      <c r="Y24" s="5">
        <f t="shared" si="46"/>
        <v>0.40347979291507013</v>
      </c>
      <c r="Z24" s="5">
        <f t="shared" si="46"/>
        <v>0.42424017986762608</v>
      </c>
      <c r="AA24" s="5">
        <f t="shared" si="46"/>
        <v>0.44441742923687827</v>
      </c>
      <c r="AB24" s="5">
        <f t="shared" si="46"/>
        <v>0.4639556478463826</v>
      </c>
      <c r="AC24" s="5">
        <f t="shared" si="46"/>
        <v>0.48281547748645348</v>
      </c>
      <c r="AE24" s="6" t="s">
        <v>43</v>
      </c>
      <c r="AF24" s="6">
        <v>0.12</v>
      </c>
    </row>
    <row r="25" spans="1:130" s="6" customFormat="1" x14ac:dyDescent="0.2">
      <c r="A25" s="6" t="s">
        <v>31</v>
      </c>
      <c r="B25" s="5">
        <f t="shared" ref="B25:I25" si="47">+B17/B16</f>
        <v>5.5386229639252556E-2</v>
      </c>
      <c r="C25" s="5">
        <f t="shared" si="47"/>
        <v>6.992609437180218E-2</v>
      </c>
      <c r="D25" s="5">
        <f t="shared" si="47"/>
        <v>8.1455076206248006E-2</v>
      </c>
      <c r="E25" s="5">
        <f t="shared" si="47"/>
        <v>-6.2087439012723657E-2</v>
      </c>
      <c r="F25" s="5">
        <f t="shared" si="47"/>
        <v>4.0884553201983927E-2</v>
      </c>
      <c r="G25" s="5">
        <f t="shared" si="47"/>
        <v>7.9882924043403858E-2</v>
      </c>
      <c r="H25" s="5">
        <f t="shared" si="47"/>
        <v>-9.7348456396003938E-2</v>
      </c>
      <c r="I25" s="5">
        <f t="shared" si="47"/>
        <v>0.38928106366938481</v>
      </c>
      <c r="J25" s="5">
        <f t="shared" ref="J25:M25" si="48">+J17/J16</f>
        <v>0.3</v>
      </c>
      <c r="K25" s="5">
        <f t="shared" si="48"/>
        <v>0.3</v>
      </c>
      <c r="L25" s="5">
        <f t="shared" si="48"/>
        <v>0.3</v>
      </c>
      <c r="M25" s="5">
        <f t="shared" si="48"/>
        <v>0.3</v>
      </c>
      <c r="N25" s="5"/>
      <c r="O25" s="5">
        <f>+O17/O16</f>
        <v>-13.802056555268937</v>
      </c>
      <c r="P25" s="5">
        <f>+P17/P16</f>
        <v>8.0839601878921169E-2</v>
      </c>
      <c r="Q25" s="5">
        <f>+Q17/Q16</f>
        <v>4.8533769285787273E-2</v>
      </c>
      <c r="R25" s="5">
        <f>+R17/R16</f>
        <v>-5.1313667836479102E-2</v>
      </c>
      <c r="S25" s="5">
        <f>+S17/S16</f>
        <v>0.3</v>
      </c>
      <c r="T25" s="5">
        <f t="shared" ref="T25:AC25" si="49">+T17/T16</f>
        <v>0.3</v>
      </c>
      <c r="U25" s="5">
        <f t="shared" si="49"/>
        <v>0.3</v>
      </c>
      <c r="V25" s="5">
        <f t="shared" si="49"/>
        <v>0.3</v>
      </c>
      <c r="W25" s="5">
        <f t="shared" si="49"/>
        <v>0.3</v>
      </c>
      <c r="X25" s="5">
        <f t="shared" si="49"/>
        <v>0.3</v>
      </c>
      <c r="Y25" s="5">
        <f t="shared" si="49"/>
        <v>0.3</v>
      </c>
      <c r="Z25" s="5">
        <f t="shared" si="49"/>
        <v>0.3</v>
      </c>
      <c r="AA25" s="5">
        <f t="shared" si="49"/>
        <v>0.3</v>
      </c>
      <c r="AB25" s="5">
        <f t="shared" si="49"/>
        <v>0.3</v>
      </c>
      <c r="AC25" s="5">
        <f t="shared" si="49"/>
        <v>0.3</v>
      </c>
      <c r="AE25" s="6" t="s">
        <v>44</v>
      </c>
      <c r="AF25" s="13">
        <f>NPV(AF24,S18:DZ18)</f>
        <v>11574.837660529853</v>
      </c>
    </row>
    <row r="26" spans="1:130" s="6" customFormat="1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AE26" s="6" t="s">
        <v>45</v>
      </c>
      <c r="AF26" s="13">
        <f>+Main!J3</f>
        <v>265</v>
      </c>
    </row>
    <row r="27" spans="1:130" s="11" customFormat="1" x14ac:dyDescent="0.2">
      <c r="A27" s="11" t="s">
        <v>36</v>
      </c>
      <c r="B27" s="12"/>
      <c r="C27" s="12"/>
      <c r="D27" s="12"/>
      <c r="E27" s="12"/>
      <c r="F27" s="12">
        <f t="shared" ref="F27:H27" si="50">+F7/B7-1</f>
        <v>0.26765807999247393</v>
      </c>
      <c r="G27" s="12">
        <f t="shared" si="50"/>
        <v>0.23548588813085369</v>
      </c>
      <c r="H27" s="12">
        <f t="shared" si="50"/>
        <v>0.25261020501735776</v>
      </c>
      <c r="I27" s="12">
        <f>+I7/E7-1</f>
        <v>0.31896352962737429</v>
      </c>
      <c r="J27" s="12">
        <f t="shared" ref="J27:M27" si="51">+J7/F7-1</f>
        <v>0.44868247735073163</v>
      </c>
      <c r="K27" s="12">
        <f t="shared" si="51"/>
        <v>0.39881689916573304</v>
      </c>
      <c r="L27" s="12">
        <f t="shared" si="51"/>
        <v>0.35053425087326673</v>
      </c>
      <c r="M27" s="12">
        <f t="shared" si="51"/>
        <v>0.21550625000000001</v>
      </c>
      <c r="N27" s="12"/>
      <c r="O27" s="12"/>
      <c r="P27" s="11">
        <f t="shared" ref="P27:Q27" si="52">+P7/O7-1</f>
        <v>8.286699208278514E-2</v>
      </c>
      <c r="Q27" s="11">
        <f t="shared" si="52"/>
        <v>0.17655597245668786</v>
      </c>
      <c r="R27" s="11">
        <f>+R7/Q7-1</f>
        <v>0.27070355410589619</v>
      </c>
      <c r="S27" s="11">
        <f>+S7/R7-1</f>
        <v>0.34286813248781756</v>
      </c>
      <c r="T27" s="11">
        <f t="shared" ref="T27:AC27" si="53">+T7/S7-1</f>
        <v>0.25000000000000022</v>
      </c>
      <c r="U27" s="11">
        <f t="shared" si="53"/>
        <v>0.25</v>
      </c>
      <c r="V27" s="11">
        <f t="shared" si="53"/>
        <v>0.25</v>
      </c>
      <c r="W27" s="11">
        <f t="shared" si="53"/>
        <v>0.24999999999999978</v>
      </c>
      <c r="X27" s="11">
        <f t="shared" si="53"/>
        <v>0.25</v>
      </c>
      <c r="Y27" s="11">
        <f t="shared" si="53"/>
        <v>0.14999999999999991</v>
      </c>
      <c r="Z27" s="11">
        <f t="shared" si="53"/>
        <v>0.14999999999999991</v>
      </c>
      <c r="AA27" s="11">
        <f t="shared" si="53"/>
        <v>0.14999999999999991</v>
      </c>
      <c r="AB27" s="11">
        <f t="shared" si="53"/>
        <v>0.14999999999999991</v>
      </c>
      <c r="AC27" s="11">
        <f t="shared" si="53"/>
        <v>0.14999999999999991</v>
      </c>
      <c r="AE27" s="6" t="s">
        <v>46</v>
      </c>
      <c r="AF27" s="13">
        <f>+AF25/Main!J4</f>
        <v>277.85106946268189</v>
      </c>
    </row>
    <row r="28" spans="1:130" s="6" customFormat="1" x14ac:dyDescent="0.2">
      <c r="A28" s="6" t="s">
        <v>38</v>
      </c>
      <c r="B28" s="5"/>
      <c r="C28" s="5"/>
      <c r="D28" s="5"/>
      <c r="E28" s="5"/>
      <c r="F28" s="5">
        <f t="shared" ref="F28:H28" si="54">+F10/B10-1</f>
        <v>0.20286352231659888</v>
      </c>
      <c r="G28" s="5">
        <f t="shared" si="54"/>
        <v>0.14266246486670653</v>
      </c>
      <c r="H28" s="5">
        <f t="shared" si="54"/>
        <v>6.8047154035138391E-2</v>
      </c>
      <c r="I28" s="5">
        <f>+I10/E10-1</f>
        <v>4.4971540688074407E-2</v>
      </c>
      <c r="J28" s="5">
        <f t="shared" ref="J28:M28" si="55">+J10/F10-1</f>
        <v>8.0863441518677526E-2</v>
      </c>
      <c r="K28" s="5">
        <f t="shared" si="55"/>
        <v>0.10512969588550991</v>
      </c>
      <c r="L28" s="5">
        <f t="shared" si="55"/>
        <v>0.20369907022596823</v>
      </c>
      <c r="M28" s="5">
        <f t="shared" si="55"/>
        <v>0.21550625000000023</v>
      </c>
      <c r="N28" s="5"/>
      <c r="O28" s="5"/>
      <c r="P28" s="6">
        <f t="shared" ref="P28:Q28" si="56">+P10/O10-1</f>
        <v>0.48933204786955353</v>
      </c>
      <c r="Q28" s="6">
        <f t="shared" si="56"/>
        <v>0.3391476277256702</v>
      </c>
      <c r="R28" s="6">
        <f t="shared" ref="R28:S30" si="57">+R10/Q10-1</f>
        <v>0.11099143026781078</v>
      </c>
      <c r="S28" s="6">
        <f t="shared" si="57"/>
        <v>0.15132898011303197</v>
      </c>
      <c r="AF28" s="6">
        <f>+AF27/AF26-1</f>
        <v>4.8494601745969312E-2</v>
      </c>
    </row>
    <row r="29" spans="1:130" s="6" customFormat="1" x14ac:dyDescent="0.2">
      <c r="A29" s="6" t="s">
        <v>39</v>
      </c>
      <c r="B29" s="5"/>
      <c r="C29" s="5"/>
      <c r="D29" s="5"/>
      <c r="E29" s="5"/>
      <c r="F29" s="5">
        <f t="shared" ref="F29:H29" si="58">+F11/B11-1</f>
        <v>0.28405201916495537</v>
      </c>
      <c r="G29" s="5">
        <f t="shared" si="58"/>
        <v>0.16455273313749208</v>
      </c>
      <c r="H29" s="5">
        <f t="shared" si="58"/>
        <v>9.4808301402024231E-2</v>
      </c>
      <c r="I29" s="5">
        <f>+I11/E11-1</f>
        <v>0.17490108775912816</v>
      </c>
      <c r="J29" s="5">
        <f t="shared" ref="J29:M29" si="59">+J11/F11-1</f>
        <v>0.12581315122500714</v>
      </c>
      <c r="K29" s="5">
        <f t="shared" si="59"/>
        <v>0.16268058344627034</v>
      </c>
      <c r="L29" s="5">
        <f t="shared" si="59"/>
        <v>0.24835299138166489</v>
      </c>
      <c r="M29" s="5">
        <f t="shared" si="59"/>
        <v>0.21550625000000001</v>
      </c>
      <c r="N29" s="5"/>
      <c r="O29" s="5"/>
      <c r="P29" s="6">
        <f t="shared" ref="P29:Q29" si="60">+P11/O11-1</f>
        <v>0.24728294219519187</v>
      </c>
      <c r="Q29" s="6">
        <f t="shared" si="60"/>
        <v>0.2582789421321352</v>
      </c>
      <c r="R29" s="6">
        <f t="shared" si="57"/>
        <v>0.17583187796323485</v>
      </c>
      <c r="S29" s="6">
        <f t="shared" si="57"/>
        <v>0.18838466307394652</v>
      </c>
    </row>
    <row r="30" spans="1:130" s="6" customFormat="1" x14ac:dyDescent="0.2">
      <c r="A30" s="6" t="s">
        <v>40</v>
      </c>
      <c r="B30" s="5"/>
      <c r="C30" s="5"/>
      <c r="D30" s="5"/>
      <c r="E30" s="5"/>
      <c r="F30" s="5">
        <f t="shared" ref="F30:H30" si="61">+F12/B12-1</f>
        <v>2.2243615727604471E-2</v>
      </c>
      <c r="G30" s="5">
        <f t="shared" si="61"/>
        <v>0.11843164888262536</v>
      </c>
      <c r="H30" s="5">
        <f t="shared" si="61"/>
        <v>0.18825344777702768</v>
      </c>
      <c r="I30" s="5">
        <f>+I12/E12-1</f>
        <v>0.25182613400667342</v>
      </c>
      <c r="J30" s="5">
        <f t="shared" ref="J30:M30" si="62">+J12/F12-1</f>
        <v>0.44491449814126405</v>
      </c>
      <c r="K30" s="5">
        <f t="shared" si="62"/>
        <v>0.3774675982179021</v>
      </c>
      <c r="L30" s="5">
        <f t="shared" si="62"/>
        <v>0.30424246712929159</v>
      </c>
      <c r="M30" s="5">
        <f t="shared" si="62"/>
        <v>0.21550625000000023</v>
      </c>
      <c r="N30" s="5"/>
      <c r="O30" s="5"/>
      <c r="P30" s="6">
        <f t="shared" ref="P30:Q30" si="63">+P12/O12-1</f>
        <v>0.18196561253702681</v>
      </c>
      <c r="Q30" s="6">
        <f t="shared" si="63"/>
        <v>0.15533776688834444</v>
      </c>
      <c r="R30" s="6">
        <f t="shared" si="57"/>
        <v>0.14882452738730012</v>
      </c>
      <c r="S30" s="6">
        <f t="shared" si="57"/>
        <v>0.32535627676659562</v>
      </c>
    </row>
    <row r="32" spans="1:130" x14ac:dyDescent="0.2">
      <c r="A32" t="s">
        <v>37</v>
      </c>
      <c r="I32" s="7">
        <f>355.933+354.472+283.016+324.548-572.34</f>
        <v>745.62900000000002</v>
      </c>
      <c r="J32" s="7">
        <f>+I32+J18</f>
        <v>761.72993100000008</v>
      </c>
      <c r="K32" s="7">
        <f>+J32+K18</f>
        <v>783.88084517700008</v>
      </c>
      <c r="L32" s="7">
        <f t="shared" ref="L32:M32" si="64">+K32+L18</f>
        <v>812.28967995843914</v>
      </c>
      <c r="M32" s="7">
        <f t="shared" si="64"/>
        <v>847.21116201430118</v>
      </c>
      <c r="R32" s="13">
        <f>+I32</f>
        <v>745.62900000000002</v>
      </c>
      <c r="S32" s="13">
        <f>+R32+S18</f>
        <v>782.10046487111401</v>
      </c>
      <c r="T32" s="13">
        <f t="shared" ref="T32:AC32" si="65">+S32+T18</f>
        <v>942.57931486386519</v>
      </c>
      <c r="U32" s="13">
        <f t="shared" si="65"/>
        <v>1266.221995531127</v>
      </c>
      <c r="V32" s="13">
        <f t="shared" si="65"/>
        <v>1803.573617528853</v>
      </c>
      <c r="W32" s="13">
        <f t="shared" si="65"/>
        <v>2619.5654699700881</v>
      </c>
      <c r="X32" s="13">
        <f t="shared" si="65"/>
        <v>3797.2850466509772</v>
      </c>
      <c r="Y32" s="13">
        <f t="shared" si="65"/>
        <v>5227.0222429400328</v>
      </c>
      <c r="Z32" s="13">
        <f t="shared" si="65"/>
        <v>6955.8195020917356</v>
      </c>
      <c r="AA32" s="13">
        <f t="shared" si="65"/>
        <v>9038.492998263755</v>
      </c>
      <c r="AB32" s="13">
        <f t="shared" si="65"/>
        <v>11538.863770743164</v>
      </c>
      <c r="AC32" s="13">
        <f t="shared" si="65"/>
        <v>14531.176443545592</v>
      </c>
    </row>
  </sheetData>
  <pageMargins left="0.7" right="0.7" top="0.75" bottom="0.75" header="0.3" footer="0.3"/>
  <ignoredErrors>
    <ignoredError sqref="O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2024-03-29T06:47:18Z</dcterms:created>
  <dcterms:modified xsi:type="dcterms:W3CDTF">2024-03-29T21:51:28Z</dcterms:modified>
</cp:coreProperties>
</file>