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nni\Desktop\CompanyResearchModels\"/>
    </mc:Choice>
  </mc:AlternateContent>
  <xr:revisionPtr revIDLastSave="0" documentId="13_ncr:1_{28D339F4-AF21-4F98-9A60-A80756A76D32}" xr6:coauthVersionLast="47" xr6:coauthVersionMax="47" xr10:uidLastSave="{00000000-0000-0000-0000-000000000000}"/>
  <bookViews>
    <workbookView xWindow="-120" yWindow="-120" windowWidth="29040" windowHeight="15840" activeTab="1" xr2:uid="{65B1A23B-AB7B-495B-BC18-46FB6900A251}"/>
  </bookViews>
  <sheets>
    <sheet name="Main" sheetId="1" r:id="rId1"/>
    <sheet name="Model" sheetId="2" r:id="rId2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56" i="2" l="1"/>
  <c r="P72" i="2"/>
  <c r="Q67" i="2"/>
  <c r="Q66" i="2"/>
  <c r="Q65" i="2"/>
  <c r="Q63" i="2"/>
  <c r="Q62" i="2"/>
  <c r="Q61" i="2"/>
  <c r="Q60" i="2"/>
  <c r="Q59" i="2"/>
  <c r="Q58" i="2"/>
  <c r="Q55" i="2"/>
  <c r="Q54" i="2"/>
  <c r="Q51" i="2"/>
  <c r="Q50" i="2"/>
  <c r="Q49" i="2"/>
  <c r="Q47" i="2"/>
  <c r="Q46" i="2"/>
  <c r="P75" i="2"/>
  <c r="P74" i="2"/>
  <c r="P73" i="2"/>
  <c r="P69" i="2"/>
  <c r="P70" i="2" s="1"/>
  <c r="P67" i="2"/>
  <c r="P66" i="2"/>
  <c r="P65" i="2"/>
  <c r="P63" i="2"/>
  <c r="P62" i="2"/>
  <c r="P61" i="2"/>
  <c r="P60" i="2"/>
  <c r="P59" i="2"/>
  <c r="P58" i="2"/>
  <c r="P56" i="2"/>
  <c r="P55" i="2"/>
  <c r="P54" i="2"/>
  <c r="P51" i="2"/>
  <c r="P52" i="2" s="1"/>
  <c r="P50" i="2"/>
  <c r="P49" i="2"/>
  <c r="P48" i="2"/>
  <c r="P47" i="2"/>
  <c r="P46" i="2"/>
  <c r="P45" i="2"/>
  <c r="O70" i="2"/>
  <c r="O75" i="2"/>
  <c r="O74" i="2"/>
  <c r="O73" i="2"/>
  <c r="O72" i="2"/>
  <c r="O69" i="2"/>
  <c r="O67" i="2"/>
  <c r="O66" i="2"/>
  <c r="O65" i="2"/>
  <c r="O63" i="2"/>
  <c r="O62" i="2"/>
  <c r="O61" i="2"/>
  <c r="O60" i="2"/>
  <c r="O59" i="2"/>
  <c r="O58" i="2"/>
  <c r="O56" i="2"/>
  <c r="O55" i="2"/>
  <c r="O54" i="2"/>
  <c r="O52" i="2"/>
  <c r="O51" i="2"/>
  <c r="O50" i="2"/>
  <c r="O49" i="2"/>
  <c r="O48" i="2"/>
  <c r="O47" i="2"/>
  <c r="O46" i="2"/>
  <c r="O45" i="2"/>
  <c r="N75" i="2"/>
  <c r="N74" i="2"/>
  <c r="N73" i="2"/>
  <c r="N72" i="2"/>
  <c r="N69" i="2"/>
  <c r="N67" i="2"/>
  <c r="N56" i="2"/>
  <c r="N52" i="2"/>
  <c r="N51" i="2"/>
  <c r="N45" i="2"/>
  <c r="Q45" i="2"/>
  <c r="X3" i="2"/>
  <c r="AF35" i="2"/>
  <c r="AF41" i="2" s="1"/>
  <c r="AF31" i="2"/>
  <c r="AF33" i="2" s="1"/>
  <c r="AF24" i="2"/>
  <c r="AG35" i="2"/>
  <c r="AG41" i="2" s="1"/>
  <c r="AG33" i="2"/>
  <c r="AG31" i="2"/>
  <c r="AG24" i="2"/>
  <c r="AH35" i="2"/>
  <c r="AH41" i="2" s="1"/>
  <c r="AH31" i="2"/>
  <c r="AH33" i="2" s="1"/>
  <c r="AH42" i="2" s="1"/>
  <c r="AH43" i="2" s="1"/>
  <c r="AH24" i="2"/>
  <c r="AI35" i="2"/>
  <c r="AI34" i="2"/>
  <c r="AI41" i="2" s="1"/>
  <c r="AI33" i="2"/>
  <c r="AI31" i="2"/>
  <c r="AI24" i="2"/>
  <c r="L35" i="2"/>
  <c r="L41" i="2" s="1"/>
  <c r="L31" i="2"/>
  <c r="L33" i="2"/>
  <c r="L24" i="2"/>
  <c r="K35" i="2"/>
  <c r="K34" i="2"/>
  <c r="K24" i="2" s="1"/>
  <c r="K31" i="2"/>
  <c r="K33" i="2" s="1"/>
  <c r="J35" i="2"/>
  <c r="J34" i="2"/>
  <c r="J24" i="2" s="1"/>
  <c r="J31" i="2"/>
  <c r="J33" i="2"/>
  <c r="I35" i="2"/>
  <c r="I41" i="2" s="1"/>
  <c r="I31" i="2"/>
  <c r="I33" i="2" s="1"/>
  <c r="E35" i="2"/>
  <c r="E41" i="2" s="1"/>
  <c r="E33" i="2"/>
  <c r="E42" i="2" s="1"/>
  <c r="E43" i="2" s="1"/>
  <c r="E31" i="2"/>
  <c r="E24" i="2"/>
  <c r="F35" i="2"/>
  <c r="F31" i="2"/>
  <c r="F33" i="2" s="1"/>
  <c r="F41" i="2"/>
  <c r="F24" i="2"/>
  <c r="G35" i="2"/>
  <c r="G41" i="2" s="1"/>
  <c r="G31" i="2"/>
  <c r="G33" i="2" s="1"/>
  <c r="G24" i="2"/>
  <c r="H31" i="2"/>
  <c r="H35" i="2"/>
  <c r="H33" i="2"/>
  <c r="H41" i="2"/>
  <c r="H24" i="2"/>
  <c r="I24" i="2"/>
  <c r="N35" i="2"/>
  <c r="N34" i="2"/>
  <c r="N24" i="2" s="1"/>
  <c r="N31" i="2"/>
  <c r="N33" i="2"/>
  <c r="O35" i="2"/>
  <c r="O31" i="2"/>
  <c r="O41" i="2"/>
  <c r="O33" i="2"/>
  <c r="P35" i="2"/>
  <c r="P34" i="2"/>
  <c r="P31" i="2"/>
  <c r="P33" i="2"/>
  <c r="M35" i="2"/>
  <c r="M41" i="2" s="1"/>
  <c r="M31" i="2"/>
  <c r="M33" i="2"/>
  <c r="Q24" i="2"/>
  <c r="Q43" i="2"/>
  <c r="Q42" i="2"/>
  <c r="Q41" i="2"/>
  <c r="Q35" i="2"/>
  <c r="Q34" i="2"/>
  <c r="Q31" i="2"/>
  <c r="Q33" i="2" s="1"/>
  <c r="AG42" i="2" l="1"/>
  <c r="AG43" i="2" s="1"/>
  <c r="AI42" i="2"/>
  <c r="AI43" i="2" s="1"/>
  <c r="AF42" i="2"/>
  <c r="AF43" i="2" s="1"/>
  <c r="L42" i="2"/>
  <c r="L43" i="2" s="1"/>
  <c r="K41" i="2"/>
  <c r="K42" i="2" s="1"/>
  <c r="K43" i="2" s="1"/>
  <c r="J41" i="2"/>
  <c r="J42" i="2" s="1"/>
  <c r="J43" i="2" s="1"/>
  <c r="F42" i="2"/>
  <c r="F43" i="2" s="1"/>
  <c r="G42" i="2"/>
  <c r="G43" i="2" s="1"/>
  <c r="H42" i="2"/>
  <c r="H43" i="2" s="1"/>
  <c r="I42" i="2"/>
  <c r="I43" i="2" s="1"/>
  <c r="N41" i="2"/>
  <c r="N42" i="2" s="1"/>
  <c r="N43" i="2" s="1"/>
  <c r="O42" i="2"/>
  <c r="O43" i="2" s="1"/>
  <c r="O24" i="2"/>
  <c r="P41" i="2"/>
  <c r="P42" i="2" s="1"/>
  <c r="P43" i="2" s="1"/>
  <c r="P24" i="2"/>
  <c r="M42" i="2"/>
  <c r="M43" i="2" s="1"/>
  <c r="M24" i="2"/>
  <c r="AI22" i="2"/>
  <c r="AI21" i="2"/>
  <c r="AI6" i="2"/>
  <c r="AI8" i="2" s="1"/>
  <c r="AH9" i="2"/>
  <c r="AH22" i="2"/>
  <c r="AH21" i="2"/>
  <c r="AH6" i="2"/>
  <c r="AH8" i="2" s="1"/>
  <c r="AG22" i="2"/>
  <c r="AG21" i="2"/>
  <c r="AG6" i="2"/>
  <c r="AG16" i="2" s="1"/>
  <c r="AF22" i="2"/>
  <c r="AF21" i="2"/>
  <c r="AF6" i="2"/>
  <c r="AF16" i="2" s="1"/>
  <c r="AE22" i="2"/>
  <c r="AE21" i="2"/>
  <c r="AE6" i="2"/>
  <c r="AE8" i="2" s="1"/>
  <c r="AD9" i="2"/>
  <c r="AD22" i="2"/>
  <c r="AD21" i="2"/>
  <c r="AD6" i="2"/>
  <c r="AD8" i="2" s="1"/>
  <c r="AC9" i="2"/>
  <c r="AC22" i="2"/>
  <c r="AC21" i="2"/>
  <c r="AC6" i="2"/>
  <c r="AC8" i="2" s="1"/>
  <c r="AB22" i="2"/>
  <c r="AB21" i="2"/>
  <c r="AB6" i="2"/>
  <c r="AB16" i="2" s="1"/>
  <c r="AA9" i="2"/>
  <c r="AA22" i="2"/>
  <c r="AA21" i="2"/>
  <c r="AA6" i="2"/>
  <c r="AA16" i="2" s="1"/>
  <c r="Z22" i="2"/>
  <c r="Y22" i="2"/>
  <c r="Z21" i="2"/>
  <c r="Y21" i="2"/>
  <c r="X22" i="2"/>
  <c r="X21" i="2"/>
  <c r="Z6" i="2"/>
  <c r="Z16" i="2" s="1"/>
  <c r="W9" i="2"/>
  <c r="W6" i="2"/>
  <c r="W8" i="2" s="1"/>
  <c r="Y9" i="2"/>
  <c r="Y6" i="2"/>
  <c r="Y8" i="2" s="1"/>
  <c r="X9" i="2"/>
  <c r="X6" i="2"/>
  <c r="X16" i="2" s="1"/>
  <c r="Y3" i="2"/>
  <c r="Z3" i="2" s="1"/>
  <c r="AA3" i="2" s="1"/>
  <c r="AB3" i="2" s="1"/>
  <c r="AC3" i="2" s="1"/>
  <c r="AD3" i="2" s="1"/>
  <c r="AE3" i="2" s="1"/>
  <c r="AF3" i="2" s="1"/>
  <c r="AG3" i="2" s="1"/>
  <c r="AH3" i="2" s="1"/>
  <c r="AI3" i="2" s="1"/>
  <c r="AJ3" i="2" s="1"/>
  <c r="AK3" i="2" s="1"/>
  <c r="AL3" i="2" s="1"/>
  <c r="AM3" i="2" s="1"/>
  <c r="AN3" i="2" s="1"/>
  <c r="AO3" i="2" s="1"/>
  <c r="AP3" i="2" s="1"/>
  <c r="AQ3" i="2" s="1"/>
  <c r="AR3" i="2" s="1"/>
  <c r="AS3" i="2" s="1"/>
  <c r="AT3" i="2" s="1"/>
  <c r="Q22" i="2"/>
  <c r="Q21" i="2"/>
  <c r="Q6" i="2"/>
  <c r="Q16" i="2" s="1"/>
  <c r="M22" i="2"/>
  <c r="M21" i="2"/>
  <c r="M6" i="2"/>
  <c r="M8" i="2" s="1"/>
  <c r="P22" i="2"/>
  <c r="P21" i="2"/>
  <c r="P6" i="2"/>
  <c r="P16" i="2" s="1"/>
  <c r="L9" i="2"/>
  <c r="L22" i="2"/>
  <c r="L21" i="2"/>
  <c r="L6" i="2"/>
  <c r="L16" i="2" s="1"/>
  <c r="O22" i="2"/>
  <c r="O21" i="2"/>
  <c r="O6" i="2"/>
  <c r="O16" i="2" s="1"/>
  <c r="K22" i="2"/>
  <c r="K21" i="2"/>
  <c r="K6" i="2"/>
  <c r="K8" i="2" s="1"/>
  <c r="N22" i="2"/>
  <c r="N21" i="2"/>
  <c r="N6" i="2"/>
  <c r="N8" i="2" s="1"/>
  <c r="J22" i="2"/>
  <c r="J21" i="2"/>
  <c r="J6" i="2"/>
  <c r="J16" i="2" s="1"/>
  <c r="I21" i="2"/>
  <c r="H21" i="2"/>
  <c r="I22" i="2"/>
  <c r="I6" i="2"/>
  <c r="I8" i="2" s="1"/>
  <c r="E6" i="2"/>
  <c r="E8" i="2" s="1"/>
  <c r="H22" i="2"/>
  <c r="H6" i="2"/>
  <c r="H8" i="2" s="1"/>
  <c r="D6" i="2"/>
  <c r="D16" i="2" s="1"/>
  <c r="G22" i="2"/>
  <c r="G21" i="2"/>
  <c r="G6" i="2"/>
  <c r="G16" i="2" s="1"/>
  <c r="C6" i="2"/>
  <c r="C8" i="2" s="1"/>
  <c r="F22" i="2"/>
  <c r="F21" i="2"/>
  <c r="F6" i="2"/>
  <c r="F8" i="2" s="1"/>
  <c r="F10" i="2" s="1"/>
  <c r="F12" i="2" s="1"/>
  <c r="F13" i="2" s="1"/>
  <c r="B6" i="2"/>
  <c r="B8" i="2" s="1"/>
  <c r="K8" i="1"/>
  <c r="K5" i="1"/>
  <c r="AI17" i="2" l="1"/>
  <c r="AI10" i="2"/>
  <c r="AI16" i="2"/>
  <c r="AH10" i="2"/>
  <c r="AH17" i="2"/>
  <c r="AH16" i="2"/>
  <c r="AG8" i="2"/>
  <c r="AF8" i="2"/>
  <c r="AE10" i="2"/>
  <c r="AE17" i="2"/>
  <c r="AE16" i="2"/>
  <c r="AD10" i="2"/>
  <c r="AD17" i="2"/>
  <c r="AD16" i="2"/>
  <c r="AC10" i="2"/>
  <c r="AC17" i="2"/>
  <c r="AC16" i="2"/>
  <c r="AB8" i="2"/>
  <c r="AB10" i="2" s="1"/>
  <c r="AA8" i="2"/>
  <c r="Z8" i="2"/>
  <c r="W10" i="2"/>
  <c r="W17" i="2"/>
  <c r="W16" i="2"/>
  <c r="Y10" i="2"/>
  <c r="Y17" i="2"/>
  <c r="Y16" i="2"/>
  <c r="X8" i="2"/>
  <c r="X10" i="2" s="1"/>
  <c r="Q8" i="2"/>
  <c r="M17" i="2"/>
  <c r="M10" i="2"/>
  <c r="M16" i="2"/>
  <c r="P8" i="2"/>
  <c r="F18" i="2"/>
  <c r="F19" i="2"/>
  <c r="B16" i="2"/>
  <c r="B17" i="2"/>
  <c r="B10" i="2"/>
  <c r="F16" i="2"/>
  <c r="F17" i="2"/>
  <c r="J8" i="2"/>
  <c r="L8" i="2"/>
  <c r="L17" i="2" s="1"/>
  <c r="O8" i="2"/>
  <c r="K10" i="2"/>
  <c r="K17" i="2"/>
  <c r="K16" i="2"/>
  <c r="N16" i="2"/>
  <c r="N10" i="2"/>
  <c r="N17" i="2"/>
  <c r="I10" i="2"/>
  <c r="I17" i="2"/>
  <c r="I16" i="2"/>
  <c r="E10" i="2"/>
  <c r="E17" i="2"/>
  <c r="E16" i="2"/>
  <c r="H10" i="2"/>
  <c r="H17" i="2"/>
  <c r="H16" i="2"/>
  <c r="D8" i="2"/>
  <c r="G8" i="2"/>
  <c r="C17" i="2"/>
  <c r="C10" i="2"/>
  <c r="C16" i="2"/>
  <c r="AI19" i="2" l="1"/>
  <c r="AI12" i="2"/>
  <c r="AH19" i="2"/>
  <c r="AH12" i="2"/>
  <c r="AG17" i="2"/>
  <c r="AG10" i="2"/>
  <c r="AF17" i="2"/>
  <c r="AF10" i="2"/>
  <c r="AE19" i="2"/>
  <c r="AE12" i="2"/>
  <c r="AD19" i="2"/>
  <c r="AD12" i="2"/>
  <c r="AC19" i="2"/>
  <c r="AC12" i="2"/>
  <c r="AB17" i="2"/>
  <c r="AA10" i="2"/>
  <c r="AA17" i="2"/>
  <c r="Z17" i="2"/>
  <c r="Z10" i="2"/>
  <c r="W19" i="2"/>
  <c r="W12" i="2"/>
  <c r="Y12" i="2"/>
  <c r="Y19" i="2"/>
  <c r="X17" i="2"/>
  <c r="Q10" i="2"/>
  <c r="Q17" i="2"/>
  <c r="M19" i="2"/>
  <c r="M12" i="2"/>
  <c r="P10" i="2"/>
  <c r="P17" i="2"/>
  <c r="B12" i="2"/>
  <c r="B19" i="2"/>
  <c r="L10" i="2"/>
  <c r="L19" i="2" s="1"/>
  <c r="O10" i="2"/>
  <c r="O17" i="2"/>
  <c r="K12" i="2"/>
  <c r="K19" i="2"/>
  <c r="N12" i="2"/>
  <c r="N19" i="2"/>
  <c r="J17" i="2"/>
  <c r="J10" i="2"/>
  <c r="I19" i="2"/>
  <c r="I12" i="2"/>
  <c r="E12" i="2"/>
  <c r="E19" i="2"/>
  <c r="H19" i="2"/>
  <c r="H12" i="2"/>
  <c r="D17" i="2"/>
  <c r="D10" i="2"/>
  <c r="G10" i="2"/>
  <c r="G17" i="2"/>
  <c r="C19" i="2"/>
  <c r="C12" i="2"/>
  <c r="AI18" i="2" l="1"/>
  <c r="AI13" i="2"/>
  <c r="AH18" i="2"/>
  <c r="AH13" i="2"/>
  <c r="AG19" i="2"/>
  <c r="AG12" i="2"/>
  <c r="AF12" i="2"/>
  <c r="AF19" i="2"/>
  <c r="AE18" i="2"/>
  <c r="AE13" i="2"/>
  <c r="AD18" i="2"/>
  <c r="AD13" i="2"/>
  <c r="AC18" i="2"/>
  <c r="AC13" i="2"/>
  <c r="AB19" i="2"/>
  <c r="AB12" i="2"/>
  <c r="AA19" i="2"/>
  <c r="AA12" i="2"/>
  <c r="Z19" i="2"/>
  <c r="Z12" i="2"/>
  <c r="W18" i="2"/>
  <c r="W13" i="2"/>
  <c r="Y13" i="2"/>
  <c r="Y18" i="2"/>
  <c r="X19" i="2"/>
  <c r="X12" i="2"/>
  <c r="Q19" i="2"/>
  <c r="Q12" i="2"/>
  <c r="M18" i="2"/>
  <c r="M13" i="2"/>
  <c r="P12" i="2"/>
  <c r="P19" i="2"/>
  <c r="B13" i="2"/>
  <c r="B18" i="2"/>
  <c r="L12" i="2"/>
  <c r="L13" i="2" s="1"/>
  <c r="O12" i="2"/>
  <c r="O19" i="2"/>
  <c r="K18" i="2"/>
  <c r="K13" i="2"/>
  <c r="N18" i="2"/>
  <c r="N13" i="2"/>
  <c r="J12" i="2"/>
  <c r="J19" i="2"/>
  <c r="I18" i="2"/>
  <c r="I13" i="2"/>
  <c r="E13" i="2"/>
  <c r="E18" i="2"/>
  <c r="H18" i="2"/>
  <c r="H13" i="2"/>
  <c r="D19" i="2"/>
  <c r="D12" i="2"/>
  <c r="G12" i="2"/>
  <c r="G19" i="2"/>
  <c r="C18" i="2"/>
  <c r="C13" i="2"/>
  <c r="AG18" i="2" l="1"/>
  <c r="AG13" i="2"/>
  <c r="AF18" i="2"/>
  <c r="AF13" i="2"/>
  <c r="AB18" i="2"/>
  <c r="AB13" i="2"/>
  <c r="AA18" i="2"/>
  <c r="AA13" i="2"/>
  <c r="Z18" i="2"/>
  <c r="Z13" i="2"/>
  <c r="X18" i="2"/>
  <c r="X13" i="2"/>
  <c r="Q13" i="2"/>
  <c r="Q18" i="2"/>
  <c r="P18" i="2"/>
  <c r="P13" i="2"/>
  <c r="L18" i="2"/>
  <c r="O18" i="2"/>
  <c r="O13" i="2"/>
  <c r="J13" i="2"/>
  <c r="J18" i="2"/>
  <c r="D13" i="2"/>
  <c r="D18" i="2"/>
  <c r="G13" i="2"/>
  <c r="G18" i="2"/>
  <c r="Q48" i="2"/>
  <c r="Q52" i="2"/>
  <c r="Q69" i="2"/>
  <c r="Q70" i="2"/>
  <c r="Q72" i="2"/>
  <c r="Q73" i="2"/>
  <c r="Q74" i="2"/>
  <c r="Q75" i="2"/>
</calcChain>
</file>

<file path=xl/sharedStrings.xml><?xml version="1.0" encoding="utf-8"?>
<sst xmlns="http://schemas.openxmlformats.org/spreadsheetml/2006/main" count="96" uniqueCount="84">
  <si>
    <t>Dollar General</t>
  </si>
  <si>
    <t>(DG)</t>
  </si>
  <si>
    <t>(in millions)</t>
  </si>
  <si>
    <t>Price</t>
  </si>
  <si>
    <t>Shares</t>
  </si>
  <si>
    <t>MC</t>
  </si>
  <si>
    <t>Cash</t>
  </si>
  <si>
    <t>Debt</t>
  </si>
  <si>
    <t>EV</t>
  </si>
  <si>
    <t>Q120</t>
  </si>
  <si>
    <t>Q220</t>
  </si>
  <si>
    <t>Q320</t>
  </si>
  <si>
    <t>Q121</t>
  </si>
  <si>
    <t>Q221</t>
  </si>
  <si>
    <t>Q321</t>
  </si>
  <si>
    <t>Q421</t>
  </si>
  <si>
    <t>Q122</t>
  </si>
  <si>
    <t>Q222</t>
  </si>
  <si>
    <t>Q322</t>
  </si>
  <si>
    <t>Q422</t>
  </si>
  <si>
    <t>Q123</t>
  </si>
  <si>
    <t>Q223</t>
  </si>
  <si>
    <t>Q323</t>
  </si>
  <si>
    <t>Q423</t>
  </si>
  <si>
    <t>Revenue</t>
  </si>
  <si>
    <t>COGS</t>
  </si>
  <si>
    <t>Gross profit</t>
  </si>
  <si>
    <t>SG&amp;A</t>
  </si>
  <si>
    <t>Operating income</t>
  </si>
  <si>
    <t>Interest expense</t>
  </si>
  <si>
    <t>Pretax income</t>
  </si>
  <si>
    <t>Taxes</t>
  </si>
  <si>
    <t>Net income</t>
  </si>
  <si>
    <t>EPS</t>
  </si>
  <si>
    <t>Q420</t>
  </si>
  <si>
    <t>Gross margin</t>
  </si>
  <si>
    <t>Operating margin</t>
  </si>
  <si>
    <t>Net margin</t>
  </si>
  <si>
    <t>Tax rate</t>
  </si>
  <si>
    <t>Revenue y/y</t>
  </si>
  <si>
    <t>SG&amp;A y/y</t>
  </si>
  <si>
    <t>Q424</t>
  </si>
  <si>
    <t>Q124</t>
  </si>
  <si>
    <t>Q224</t>
  </si>
  <si>
    <t>Q324</t>
  </si>
  <si>
    <t>Net cash</t>
  </si>
  <si>
    <t>Inventories</t>
  </si>
  <si>
    <t>Prepaid</t>
  </si>
  <si>
    <t>PP&amp;E</t>
  </si>
  <si>
    <t>Lease</t>
  </si>
  <si>
    <t>Goodwill</t>
  </si>
  <si>
    <t>Other</t>
  </si>
  <si>
    <t>Total assets</t>
  </si>
  <si>
    <t>A/P</t>
  </si>
  <si>
    <t>Accrued expense</t>
  </si>
  <si>
    <t>D/T</t>
  </si>
  <si>
    <t>Total liabilities</t>
  </si>
  <si>
    <t>S/E</t>
  </si>
  <si>
    <t>L+S/E</t>
  </si>
  <si>
    <t>Model NI</t>
  </si>
  <si>
    <t>Reported NI</t>
  </si>
  <si>
    <t>D&amp;A</t>
  </si>
  <si>
    <t>SBC</t>
  </si>
  <si>
    <t>Working capital</t>
  </si>
  <si>
    <t>CFFO</t>
  </si>
  <si>
    <t>Other Non-cash</t>
  </si>
  <si>
    <t>CapEx</t>
  </si>
  <si>
    <t>Sales</t>
  </si>
  <si>
    <t>CFFI</t>
  </si>
  <si>
    <t>Issuance debt</t>
  </si>
  <si>
    <t>Repayments debt</t>
  </si>
  <si>
    <t>Outstanding</t>
  </si>
  <si>
    <t xml:space="preserve">Borrowings </t>
  </si>
  <si>
    <t>Repayments borrowings</t>
  </si>
  <si>
    <t>Cost of debt</t>
  </si>
  <si>
    <t>Buybacks</t>
  </si>
  <si>
    <t>Dividends</t>
  </si>
  <si>
    <t>CFFF</t>
  </si>
  <si>
    <t>CIC</t>
  </si>
  <si>
    <t>Cash end of period</t>
  </si>
  <si>
    <t>CFFO+CapEx</t>
  </si>
  <si>
    <t>CFFO+CapEx-SBC</t>
  </si>
  <si>
    <t>CFFO+CapEx-SBC+Buybacks</t>
  </si>
  <si>
    <t>CFFO+CapEx-SBC+Buybacks+Dividends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</si>
</sst>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sz val="28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3" fontId="0" fillId="0" borderId="0" xfId="0" applyNumberFormat="1"/>
    <xf numFmtId="14" fontId="0" fillId="0" borderId="0" xfId="0" applyNumberFormat="1"/>
    <xf numFmtId="0" fontId="0" fillId="0" borderId="0" xfId="0" applyAlignment="1">
      <alignment horizontal="right"/>
    </xf>
    <xf numFmtId="4" fontId="0" fillId="0" borderId="0" xfId="0" applyNumberFormat="1"/>
    <xf numFmtId="9" fontId="0" fillId="0" borderId="0" xfId="0" applyNumberFormat="1"/>
    <xf numFmtId="9" fontId="1" fillId="0" borderId="0" xfId="0" applyNumberFormat="1" applyFont="1"/>
    <xf numFmtId="3" fontId="1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28575</xdr:colOff>
      <xdr:row>0</xdr:row>
      <xdr:rowOff>66675</xdr:rowOff>
    </xdr:from>
    <xdr:to>
      <xdr:col>17</xdr:col>
      <xdr:colOff>28575</xdr:colOff>
      <xdr:row>78</xdr:row>
      <xdr:rowOff>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9A2FDFF5-A4B8-F4C3-4100-8B3800A5E5BC}"/>
            </a:ext>
          </a:extLst>
        </xdr:cNvPr>
        <xdr:cNvCxnSpPr/>
      </xdr:nvCxnSpPr>
      <xdr:spPr>
        <a:xfrm>
          <a:off x="13268325" y="66675"/>
          <a:ext cx="0" cy="12839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9525</xdr:colOff>
      <xdr:row>0</xdr:row>
      <xdr:rowOff>28575</xdr:rowOff>
    </xdr:from>
    <xdr:to>
      <xdr:col>35</xdr:col>
      <xdr:colOff>9525</xdr:colOff>
      <xdr:row>43</xdr:row>
      <xdr:rowOff>38100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83EC407B-DD5F-4750-8930-BB6DCCA191A2}"/>
            </a:ext>
          </a:extLst>
        </xdr:cNvPr>
        <xdr:cNvCxnSpPr/>
      </xdr:nvCxnSpPr>
      <xdr:spPr>
        <a:xfrm>
          <a:off x="24222075" y="28575"/>
          <a:ext cx="0" cy="74104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7D415-5460-4CC1-96EB-C45707D8AC22}">
  <dimension ref="A1:K8"/>
  <sheetViews>
    <sheetView workbookViewId="0">
      <selection activeCell="K9" sqref="K9"/>
    </sheetView>
  </sheetViews>
  <sheetFormatPr defaultRowHeight="12.75" x14ac:dyDescent="0.2"/>
  <cols>
    <col min="1" max="1" width="36.28515625" bestFit="1" customWidth="1"/>
  </cols>
  <sheetData>
    <row r="1" spans="1:11" ht="34.5" x14ac:dyDescent="0.45">
      <c r="A1" s="1" t="s">
        <v>0</v>
      </c>
    </row>
    <row r="2" spans="1:11" x14ac:dyDescent="0.2">
      <c r="A2" t="s">
        <v>1</v>
      </c>
    </row>
    <row r="3" spans="1:11" x14ac:dyDescent="0.2">
      <c r="A3" t="s">
        <v>2</v>
      </c>
      <c r="J3" t="s">
        <v>3</v>
      </c>
      <c r="K3" s="2">
        <v>153</v>
      </c>
    </row>
    <row r="4" spans="1:11" x14ac:dyDescent="0.2">
      <c r="J4" t="s">
        <v>4</v>
      </c>
      <c r="K4" s="2">
        <v>219.10847699999999</v>
      </c>
    </row>
    <row r="5" spans="1:11" x14ac:dyDescent="0.2">
      <c r="J5" t="s">
        <v>5</v>
      </c>
      <c r="K5" s="2">
        <f>+K3*K4</f>
        <v>33523.596981000002</v>
      </c>
    </row>
    <row r="6" spans="1:11" x14ac:dyDescent="0.2">
      <c r="J6" t="s">
        <v>6</v>
      </c>
      <c r="K6" s="2">
        <v>381.57600000000002</v>
      </c>
    </row>
    <row r="7" spans="1:11" x14ac:dyDescent="0.2">
      <c r="J7" t="s">
        <v>7</v>
      </c>
      <c r="K7" s="2">
        <v>0</v>
      </c>
    </row>
    <row r="8" spans="1:11" x14ac:dyDescent="0.2">
      <c r="J8" t="s">
        <v>8</v>
      </c>
      <c r="K8" s="2">
        <f>+K5-K6+K7</f>
        <v>33142.020981000001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EB3E9-21B6-4085-9585-6D382C96CF8E}">
  <dimension ref="A1:AT75"/>
  <sheetViews>
    <sheetView tabSelected="1" workbookViewId="0">
      <pane xSplit="1" ySplit="3" topLeftCell="G4" activePane="bottomRight" state="frozen"/>
      <selection pane="topRight" activeCell="B1" sqref="B1"/>
      <selection pane="bottomLeft" activeCell="A4" sqref="A4"/>
      <selection pane="bottomRight" activeCell="U17" sqref="U17"/>
    </sheetView>
  </sheetViews>
  <sheetFormatPr defaultRowHeight="12.75" x14ac:dyDescent="0.2"/>
  <cols>
    <col min="1" max="1" width="36.28515625" bestFit="1" customWidth="1"/>
    <col min="2" max="17" width="10.140625" style="2" bestFit="1" customWidth="1"/>
    <col min="33" max="35" width="10.140625" bestFit="1" customWidth="1"/>
  </cols>
  <sheetData>
    <row r="1" spans="1:46" ht="34.5" x14ac:dyDescent="0.45">
      <c r="A1" s="1" t="s">
        <v>0</v>
      </c>
      <c r="B1" s="1"/>
      <c r="C1" s="1"/>
      <c r="D1" s="1"/>
      <c r="E1" s="1"/>
      <c r="F1"/>
      <c r="G1"/>
      <c r="H1"/>
      <c r="I1"/>
      <c r="J1"/>
      <c r="K1"/>
      <c r="L1"/>
      <c r="M1"/>
      <c r="N1"/>
      <c r="O1"/>
      <c r="P1"/>
      <c r="Q1"/>
    </row>
    <row r="2" spans="1:46" x14ac:dyDescent="0.2">
      <c r="A2" t="s">
        <v>1</v>
      </c>
      <c r="B2" s="3">
        <v>43952</v>
      </c>
      <c r="C2" s="3">
        <v>44042</v>
      </c>
      <c r="D2" s="3">
        <v>44134</v>
      </c>
      <c r="E2" s="3">
        <v>44225</v>
      </c>
      <c r="F2" s="3">
        <v>44316</v>
      </c>
      <c r="G2" s="3">
        <v>44407</v>
      </c>
      <c r="H2" s="3">
        <v>44498</v>
      </c>
      <c r="I2" s="3">
        <v>44589</v>
      </c>
      <c r="J2" s="3">
        <v>44680</v>
      </c>
      <c r="K2" s="3">
        <v>44771</v>
      </c>
      <c r="L2" s="3">
        <v>44862</v>
      </c>
      <c r="M2" s="3">
        <v>44960</v>
      </c>
      <c r="N2" s="3">
        <v>45051</v>
      </c>
      <c r="O2" s="3">
        <v>45142</v>
      </c>
      <c r="P2" s="3">
        <v>45233</v>
      </c>
      <c r="Q2" s="3">
        <v>45324</v>
      </c>
      <c r="AG2" s="3">
        <v>44589</v>
      </c>
      <c r="AH2" s="3">
        <v>44960</v>
      </c>
      <c r="AI2" s="3">
        <v>45324</v>
      </c>
    </row>
    <row r="3" spans="1:46" s="4" customFormat="1" x14ac:dyDescent="0.2">
      <c r="A3" t="s">
        <v>2</v>
      </c>
      <c r="B3" s="4" t="s">
        <v>9</v>
      </c>
      <c r="C3" s="4" t="s">
        <v>10</v>
      </c>
      <c r="D3" s="4" t="s">
        <v>11</v>
      </c>
      <c r="E3" s="4" t="s">
        <v>34</v>
      </c>
      <c r="F3" s="4" t="s">
        <v>12</v>
      </c>
      <c r="G3" s="4" t="s">
        <v>13</v>
      </c>
      <c r="H3" s="4" t="s">
        <v>14</v>
      </c>
      <c r="I3" s="4" t="s">
        <v>15</v>
      </c>
      <c r="J3" s="4" t="s">
        <v>16</v>
      </c>
      <c r="K3" s="4" t="s">
        <v>17</v>
      </c>
      <c r="L3" s="4" t="s">
        <v>18</v>
      </c>
      <c r="M3" s="4" t="s">
        <v>19</v>
      </c>
      <c r="N3" s="4" t="s">
        <v>20</v>
      </c>
      <c r="O3" s="4" t="s">
        <v>21</v>
      </c>
      <c r="P3" s="4" t="s">
        <v>22</v>
      </c>
      <c r="Q3" s="4" t="s">
        <v>23</v>
      </c>
      <c r="R3" s="4" t="s">
        <v>42</v>
      </c>
      <c r="S3" s="4" t="s">
        <v>43</v>
      </c>
      <c r="T3" s="4" t="s">
        <v>44</v>
      </c>
      <c r="U3" s="4" t="s">
        <v>41</v>
      </c>
      <c r="W3" s="4">
        <v>2011</v>
      </c>
      <c r="X3" s="4">
        <f>+W3+1</f>
        <v>2012</v>
      </c>
      <c r="Y3" s="4">
        <f>+X3+1</f>
        <v>2013</v>
      </c>
      <c r="Z3" s="4">
        <f t="shared" ref="Z3:AT3" si="0">+Y3+1</f>
        <v>2014</v>
      </c>
      <c r="AA3" s="4">
        <f t="shared" si="0"/>
        <v>2015</v>
      </c>
      <c r="AB3" s="4">
        <f t="shared" si="0"/>
        <v>2016</v>
      </c>
      <c r="AC3" s="4">
        <f t="shared" si="0"/>
        <v>2017</v>
      </c>
      <c r="AD3" s="4">
        <f t="shared" si="0"/>
        <v>2018</v>
      </c>
      <c r="AE3" s="4">
        <f t="shared" si="0"/>
        <v>2019</v>
      </c>
      <c r="AF3" s="4">
        <f t="shared" si="0"/>
        <v>2020</v>
      </c>
      <c r="AG3" s="4">
        <f t="shared" si="0"/>
        <v>2021</v>
      </c>
      <c r="AH3" s="4">
        <f t="shared" si="0"/>
        <v>2022</v>
      </c>
      <c r="AI3" s="4">
        <f t="shared" si="0"/>
        <v>2023</v>
      </c>
      <c r="AJ3" s="4">
        <f t="shared" si="0"/>
        <v>2024</v>
      </c>
      <c r="AK3" s="4">
        <f t="shared" si="0"/>
        <v>2025</v>
      </c>
      <c r="AL3" s="4">
        <f t="shared" si="0"/>
        <v>2026</v>
      </c>
      <c r="AM3" s="4">
        <f t="shared" si="0"/>
        <v>2027</v>
      </c>
      <c r="AN3" s="4">
        <f t="shared" si="0"/>
        <v>2028</v>
      </c>
      <c r="AO3" s="4">
        <f t="shared" si="0"/>
        <v>2029</v>
      </c>
      <c r="AP3" s="4">
        <f t="shared" si="0"/>
        <v>2030</v>
      </c>
      <c r="AQ3" s="4">
        <f t="shared" si="0"/>
        <v>2031</v>
      </c>
      <c r="AR3" s="4">
        <f t="shared" si="0"/>
        <v>2032</v>
      </c>
      <c r="AS3" s="4">
        <f t="shared" si="0"/>
        <v>2033</v>
      </c>
      <c r="AT3" s="4">
        <f t="shared" si="0"/>
        <v>2034</v>
      </c>
    </row>
    <row r="4" spans="1:46" s="9" customFormat="1" x14ac:dyDescent="0.2">
      <c r="A4" s="9" t="s">
        <v>24</v>
      </c>
      <c r="B4" s="8">
        <v>8448.4490000000005</v>
      </c>
      <c r="C4" s="8">
        <v>8684.241</v>
      </c>
      <c r="D4" s="8">
        <v>8199.625</v>
      </c>
      <c r="E4" s="8">
        <v>7157.6419999999998</v>
      </c>
      <c r="F4" s="8">
        <v>8400.9639999999999</v>
      </c>
      <c r="G4" s="8">
        <v>8650.1980000000003</v>
      </c>
      <c r="H4" s="8">
        <v>8519.8389999999999</v>
      </c>
      <c r="I4" s="8">
        <v>8414.5239999999994</v>
      </c>
      <c r="J4" s="8">
        <v>8751.3520000000008</v>
      </c>
      <c r="K4" s="8">
        <v>9425.7129999999997</v>
      </c>
      <c r="L4" s="8">
        <v>9464.8909999999996</v>
      </c>
      <c r="M4" s="8">
        <v>10202.906999999999</v>
      </c>
      <c r="N4" s="8">
        <v>9342.8320000000003</v>
      </c>
      <c r="O4" s="8">
        <v>9796.1810000000005</v>
      </c>
      <c r="P4" s="8">
        <v>9694.0820000000003</v>
      </c>
      <c r="Q4" s="8">
        <v>9858.5139999999992</v>
      </c>
      <c r="W4" s="8">
        <v>14807.188</v>
      </c>
      <c r="X4" s="8">
        <v>16022.128000000001</v>
      </c>
      <c r="Y4" s="8">
        <v>17504.167000000001</v>
      </c>
      <c r="Z4" s="8">
        <v>18909.588</v>
      </c>
      <c r="AA4" s="8">
        <v>20368.562000000002</v>
      </c>
      <c r="AB4" s="8">
        <v>21986.598000000002</v>
      </c>
      <c r="AC4" s="8">
        <v>23470.967000000001</v>
      </c>
      <c r="AD4" s="8">
        <v>25625.043000000001</v>
      </c>
      <c r="AE4" s="8">
        <v>27753.973000000002</v>
      </c>
      <c r="AF4" s="8">
        <v>33746.839</v>
      </c>
      <c r="AG4" s="8">
        <v>34220.449000000001</v>
      </c>
      <c r="AH4" s="8">
        <v>37844.862999999998</v>
      </c>
      <c r="AI4" s="8">
        <v>38691.608999999997</v>
      </c>
    </row>
    <row r="5" spans="1:46" x14ac:dyDescent="0.2">
      <c r="A5" t="s">
        <v>25</v>
      </c>
      <c r="B5" s="2">
        <v>5852.7569999999996</v>
      </c>
      <c r="C5" s="2">
        <v>5866.0060000000003</v>
      </c>
      <c r="D5" s="2">
        <v>5631.3850000000002</v>
      </c>
      <c r="E5" s="2">
        <v>4884.8789999999999</v>
      </c>
      <c r="F5" s="2">
        <v>5645.2960000000003</v>
      </c>
      <c r="G5" s="2">
        <v>5912.5389999999998</v>
      </c>
      <c r="H5" s="2">
        <v>5898.4</v>
      </c>
      <c r="I5" s="2">
        <v>5677.8289999999997</v>
      </c>
      <c r="J5" s="2">
        <v>6012.9889999999996</v>
      </c>
      <c r="K5" s="2">
        <v>6377.49</v>
      </c>
      <c r="L5" s="2">
        <v>6579.6959999999999</v>
      </c>
      <c r="M5" s="2">
        <v>7054.59</v>
      </c>
      <c r="N5" s="2">
        <v>6387.3580000000002</v>
      </c>
      <c r="O5" s="2">
        <v>6751.4949999999999</v>
      </c>
      <c r="P5" s="2">
        <v>6881.5540000000001</v>
      </c>
      <c r="Q5" s="2">
        <v>6952.1779999999999</v>
      </c>
      <c r="W5" s="2">
        <v>10109.278</v>
      </c>
      <c r="X5" s="2">
        <v>10936.727000000001</v>
      </c>
      <c r="Y5" s="2">
        <v>12068.424999999999</v>
      </c>
      <c r="Z5" s="2">
        <v>13107.081</v>
      </c>
      <c r="AA5" s="2">
        <v>14062.471</v>
      </c>
      <c r="AB5" s="2">
        <v>15203.96</v>
      </c>
      <c r="AC5" s="2">
        <v>16249.608</v>
      </c>
      <c r="AD5" s="2">
        <v>17821.172999999999</v>
      </c>
      <c r="AE5" s="2">
        <v>19264.912</v>
      </c>
      <c r="AF5" s="2">
        <v>23027.976999999999</v>
      </c>
      <c r="AG5" s="2">
        <v>23407.442999999999</v>
      </c>
      <c r="AH5" s="2">
        <v>26024.764999999999</v>
      </c>
      <c r="AI5" s="2">
        <v>26972.584999999999</v>
      </c>
    </row>
    <row r="6" spans="1:46" x14ac:dyDescent="0.2">
      <c r="A6" t="s">
        <v>26</v>
      </c>
      <c r="B6" s="2">
        <f t="shared" ref="B6:Q6" si="1">+B4-B5</f>
        <v>2595.6920000000009</v>
      </c>
      <c r="C6" s="2">
        <f t="shared" si="1"/>
        <v>2818.2349999999997</v>
      </c>
      <c r="D6" s="2">
        <f t="shared" si="1"/>
        <v>2568.2399999999998</v>
      </c>
      <c r="E6" s="2">
        <f t="shared" si="1"/>
        <v>2272.7629999999999</v>
      </c>
      <c r="F6" s="2">
        <f t="shared" si="1"/>
        <v>2755.6679999999997</v>
      </c>
      <c r="G6" s="2">
        <f t="shared" si="1"/>
        <v>2737.6590000000006</v>
      </c>
      <c r="H6" s="2">
        <f t="shared" si="1"/>
        <v>2621.4390000000003</v>
      </c>
      <c r="I6" s="2">
        <f t="shared" si="1"/>
        <v>2736.6949999999997</v>
      </c>
      <c r="J6" s="2">
        <f t="shared" si="1"/>
        <v>2738.3630000000012</v>
      </c>
      <c r="K6" s="2">
        <f t="shared" si="1"/>
        <v>3048.223</v>
      </c>
      <c r="L6" s="2">
        <f t="shared" si="1"/>
        <v>2885.1949999999997</v>
      </c>
      <c r="M6" s="2">
        <f t="shared" si="1"/>
        <v>3148.3169999999991</v>
      </c>
      <c r="N6" s="2">
        <f t="shared" si="1"/>
        <v>2955.4740000000002</v>
      </c>
      <c r="O6" s="2">
        <f t="shared" si="1"/>
        <v>3044.6860000000006</v>
      </c>
      <c r="P6" s="2">
        <f t="shared" si="1"/>
        <v>2812.5280000000002</v>
      </c>
      <c r="Q6" s="2">
        <f t="shared" si="1"/>
        <v>2906.3359999999993</v>
      </c>
      <c r="W6" s="2">
        <f t="shared" ref="W6:AI6" si="2">+W4-W5</f>
        <v>4697.91</v>
      </c>
      <c r="X6" s="2">
        <f t="shared" si="2"/>
        <v>5085.4009999999998</v>
      </c>
      <c r="Y6" s="2">
        <f t="shared" si="2"/>
        <v>5435.742000000002</v>
      </c>
      <c r="Z6" s="2">
        <f t="shared" si="2"/>
        <v>5802.5069999999996</v>
      </c>
      <c r="AA6" s="2">
        <f t="shared" si="2"/>
        <v>6306.0910000000022</v>
      </c>
      <c r="AB6" s="2">
        <f t="shared" si="2"/>
        <v>6782.6380000000026</v>
      </c>
      <c r="AC6" s="2">
        <f t="shared" si="2"/>
        <v>7221.3590000000004</v>
      </c>
      <c r="AD6" s="2">
        <f t="shared" si="2"/>
        <v>7803.8700000000026</v>
      </c>
      <c r="AE6" s="2">
        <f t="shared" si="2"/>
        <v>8489.0610000000015</v>
      </c>
      <c r="AF6" s="2">
        <f t="shared" si="2"/>
        <v>10718.862000000001</v>
      </c>
      <c r="AG6" s="2">
        <f t="shared" si="2"/>
        <v>10813.006000000001</v>
      </c>
      <c r="AH6" s="2">
        <f t="shared" si="2"/>
        <v>11820.097999999998</v>
      </c>
      <c r="AI6" s="2">
        <f t="shared" si="2"/>
        <v>11719.023999999998</v>
      </c>
    </row>
    <row r="7" spans="1:46" x14ac:dyDescent="0.2">
      <c r="A7" t="s">
        <v>27</v>
      </c>
      <c r="B7" s="2">
        <v>1728.9079999999999</v>
      </c>
      <c r="C7" s="2">
        <v>1775.6079999999999</v>
      </c>
      <c r="D7" s="2">
        <v>1795.11</v>
      </c>
      <c r="E7" s="2">
        <v>1551.8879999999999</v>
      </c>
      <c r="F7" s="2">
        <v>1846.818</v>
      </c>
      <c r="G7" s="2">
        <v>1888.0909999999999</v>
      </c>
      <c r="H7" s="2">
        <v>1953.8510000000001</v>
      </c>
      <c r="I7" s="2">
        <v>1864.471</v>
      </c>
      <c r="J7" s="2">
        <v>1992.2059999999999</v>
      </c>
      <c r="K7" s="2">
        <v>2134.797</v>
      </c>
      <c r="L7" s="2">
        <v>2149.65</v>
      </c>
      <c r="M7" s="2">
        <v>2215.143</v>
      </c>
      <c r="N7" s="2">
        <v>2214.616</v>
      </c>
      <c r="O7" s="2">
        <v>2352.3719999999998</v>
      </c>
      <c r="P7" s="2">
        <v>2379.0540000000001</v>
      </c>
      <c r="Q7" s="2">
        <v>2326.6819999999998</v>
      </c>
      <c r="W7" s="2">
        <v>3207.1060000000002</v>
      </c>
      <c r="X7" s="2">
        <v>3430.125</v>
      </c>
      <c r="Y7" s="2">
        <v>3699.5569999999998</v>
      </c>
      <c r="Z7" s="2">
        <v>4033.4140000000002</v>
      </c>
      <c r="AA7" s="2">
        <v>4365.7969999999996</v>
      </c>
      <c r="AB7" s="2">
        <v>4719.1890000000003</v>
      </c>
      <c r="AC7" s="2">
        <v>5213.5410000000002</v>
      </c>
      <c r="AD7" s="2">
        <v>5687.5640000000003</v>
      </c>
      <c r="AE7" s="2">
        <v>6186.7569999999996</v>
      </c>
      <c r="AF7" s="2">
        <v>7164.0969999999998</v>
      </c>
      <c r="AG7" s="2">
        <v>7592.3310000000001</v>
      </c>
      <c r="AH7" s="2">
        <v>8491.7960000000003</v>
      </c>
      <c r="AI7" s="2">
        <v>9272.7240000000002</v>
      </c>
    </row>
    <row r="8" spans="1:46" s="9" customFormat="1" x14ac:dyDescent="0.2">
      <c r="A8" s="9" t="s">
        <v>28</v>
      </c>
      <c r="B8" s="8">
        <f t="shared" ref="B8:Q8" si="3">+B6-B7</f>
        <v>866.78400000000101</v>
      </c>
      <c r="C8" s="8">
        <f t="shared" si="3"/>
        <v>1042.6269999999997</v>
      </c>
      <c r="D8" s="8">
        <f t="shared" si="3"/>
        <v>773.12999999999988</v>
      </c>
      <c r="E8" s="8">
        <f t="shared" si="3"/>
        <v>720.875</v>
      </c>
      <c r="F8" s="8">
        <f t="shared" si="3"/>
        <v>908.84999999999968</v>
      </c>
      <c r="G8" s="8">
        <f t="shared" si="3"/>
        <v>849.56800000000067</v>
      </c>
      <c r="H8" s="8">
        <f t="shared" si="3"/>
        <v>667.58800000000019</v>
      </c>
      <c r="I8" s="8">
        <f t="shared" si="3"/>
        <v>872.22399999999971</v>
      </c>
      <c r="J8" s="8">
        <f t="shared" si="3"/>
        <v>746.15700000000129</v>
      </c>
      <c r="K8" s="8">
        <f t="shared" si="3"/>
        <v>913.42599999999993</v>
      </c>
      <c r="L8" s="8">
        <f t="shared" si="3"/>
        <v>735.54499999999962</v>
      </c>
      <c r="M8" s="8">
        <f t="shared" si="3"/>
        <v>933.17399999999907</v>
      </c>
      <c r="N8" s="8">
        <f t="shared" si="3"/>
        <v>740.85800000000017</v>
      </c>
      <c r="O8" s="8">
        <f t="shared" si="3"/>
        <v>692.31400000000076</v>
      </c>
      <c r="P8" s="8">
        <f t="shared" si="3"/>
        <v>433.47400000000016</v>
      </c>
      <c r="Q8" s="8">
        <f t="shared" si="3"/>
        <v>579.65399999999954</v>
      </c>
      <c r="W8" s="8">
        <f t="shared" ref="W8:AI8" si="4">+W6-W7</f>
        <v>1490.8039999999996</v>
      </c>
      <c r="X8" s="8">
        <f t="shared" si="4"/>
        <v>1655.2759999999998</v>
      </c>
      <c r="Y8" s="8">
        <f t="shared" si="4"/>
        <v>1736.1850000000022</v>
      </c>
      <c r="Z8" s="8">
        <f t="shared" si="4"/>
        <v>1769.0929999999994</v>
      </c>
      <c r="AA8" s="8">
        <f t="shared" si="4"/>
        <v>1940.2940000000026</v>
      </c>
      <c r="AB8" s="8">
        <f t="shared" si="4"/>
        <v>2063.4490000000023</v>
      </c>
      <c r="AC8" s="8">
        <f t="shared" si="4"/>
        <v>2007.8180000000002</v>
      </c>
      <c r="AD8" s="8">
        <f t="shared" si="4"/>
        <v>2116.3060000000023</v>
      </c>
      <c r="AE8" s="8">
        <f t="shared" si="4"/>
        <v>2302.3040000000019</v>
      </c>
      <c r="AF8" s="8">
        <f t="shared" si="4"/>
        <v>3554.7650000000012</v>
      </c>
      <c r="AG8" s="8">
        <f t="shared" si="4"/>
        <v>3220.6750000000011</v>
      </c>
      <c r="AH8" s="8">
        <f t="shared" si="4"/>
        <v>3328.3019999999979</v>
      </c>
      <c r="AI8" s="8">
        <f t="shared" si="4"/>
        <v>2446.2999999999975</v>
      </c>
    </row>
    <row r="9" spans="1:46" x14ac:dyDescent="0.2">
      <c r="A9" t="s">
        <v>29</v>
      </c>
      <c r="B9" s="2">
        <v>30.492999999999999</v>
      </c>
      <c r="C9" s="2">
        <v>39.326000000000001</v>
      </c>
      <c r="D9" s="2">
        <v>40.298000000000002</v>
      </c>
      <c r="E9" s="2">
        <v>25.567</v>
      </c>
      <c r="F9" s="2">
        <v>40.392000000000003</v>
      </c>
      <c r="G9" s="2">
        <v>39.43</v>
      </c>
      <c r="H9" s="2">
        <v>39.198</v>
      </c>
      <c r="I9" s="2">
        <v>40.268000000000001</v>
      </c>
      <c r="J9" s="2">
        <v>39.676000000000002</v>
      </c>
      <c r="K9" s="2">
        <v>43.097999999999999</v>
      </c>
      <c r="L9" s="2">
        <f>53.681+0.415</f>
        <v>54.095999999999997</v>
      </c>
      <c r="M9" s="2">
        <v>74.817999999999998</v>
      </c>
      <c r="N9" s="2">
        <v>83.037999999999997</v>
      </c>
      <c r="O9" s="2">
        <v>84.337000000000003</v>
      </c>
      <c r="P9" s="2">
        <v>82.289000000000001</v>
      </c>
      <c r="Q9" s="2">
        <v>77.117000000000004</v>
      </c>
      <c r="W9" s="2">
        <f>204.9+60.615</f>
        <v>265.51499999999999</v>
      </c>
      <c r="X9" s="2">
        <f>127.926+29.956</f>
        <v>157.88200000000001</v>
      </c>
      <c r="Y9" s="2">
        <f>88.874+18.871</f>
        <v>107.74499999999999</v>
      </c>
      <c r="Z9" s="2">
        <v>88.231999999999999</v>
      </c>
      <c r="AA9" s="2">
        <f>86.944+0.326</f>
        <v>87.27</v>
      </c>
      <c r="AB9" s="2">
        <v>97.820999999999998</v>
      </c>
      <c r="AC9" s="2">
        <f>97.036+3.502</f>
        <v>100.538</v>
      </c>
      <c r="AD9" s="2">
        <f>99.871+1.019</f>
        <v>100.89</v>
      </c>
      <c r="AE9" s="2">
        <v>100.574</v>
      </c>
      <c r="AF9" s="2">
        <v>150.38499999999999</v>
      </c>
      <c r="AG9" s="2">
        <v>157.52600000000001</v>
      </c>
      <c r="AH9" s="2">
        <f>211.273+0.415</f>
        <v>211.68799999999999</v>
      </c>
      <c r="AI9" s="2">
        <v>326.78100000000001</v>
      </c>
    </row>
    <row r="10" spans="1:46" x14ac:dyDescent="0.2">
      <c r="A10" t="s">
        <v>30</v>
      </c>
      <c r="B10" s="2">
        <f t="shared" ref="B10:Q10" si="5">+B8-B9</f>
        <v>836.29100000000096</v>
      </c>
      <c r="C10" s="2">
        <f t="shared" si="5"/>
        <v>1003.3009999999997</v>
      </c>
      <c r="D10" s="2">
        <f t="shared" si="5"/>
        <v>732.83199999999988</v>
      </c>
      <c r="E10" s="2">
        <f t="shared" si="5"/>
        <v>695.30799999999999</v>
      </c>
      <c r="F10" s="2">
        <f t="shared" si="5"/>
        <v>868.45799999999963</v>
      </c>
      <c r="G10" s="2">
        <f t="shared" si="5"/>
        <v>810.13800000000072</v>
      </c>
      <c r="H10" s="2">
        <f t="shared" si="5"/>
        <v>628.39000000000021</v>
      </c>
      <c r="I10" s="2">
        <f t="shared" si="5"/>
        <v>831.95599999999968</v>
      </c>
      <c r="J10" s="2">
        <f t="shared" si="5"/>
        <v>706.48100000000125</v>
      </c>
      <c r="K10" s="2">
        <f t="shared" si="5"/>
        <v>870.32799999999997</v>
      </c>
      <c r="L10" s="2">
        <f t="shared" si="5"/>
        <v>681.44899999999961</v>
      </c>
      <c r="M10" s="2">
        <f t="shared" si="5"/>
        <v>858.35599999999909</v>
      </c>
      <c r="N10" s="2">
        <f t="shared" si="5"/>
        <v>657.82000000000016</v>
      </c>
      <c r="O10" s="2">
        <f t="shared" si="5"/>
        <v>607.97700000000077</v>
      </c>
      <c r="P10" s="2">
        <f t="shared" si="5"/>
        <v>351.18500000000017</v>
      </c>
      <c r="Q10" s="2">
        <f t="shared" si="5"/>
        <v>502.53699999999952</v>
      </c>
      <c r="W10" s="2">
        <f t="shared" ref="W10:AI10" si="6">+W8-W9</f>
        <v>1225.2889999999998</v>
      </c>
      <c r="X10" s="2">
        <f t="shared" si="6"/>
        <v>1497.3939999999998</v>
      </c>
      <c r="Y10" s="2">
        <f t="shared" si="6"/>
        <v>1628.4400000000023</v>
      </c>
      <c r="Z10" s="2">
        <f t="shared" si="6"/>
        <v>1680.8609999999994</v>
      </c>
      <c r="AA10" s="2">
        <f t="shared" si="6"/>
        <v>1853.0240000000026</v>
      </c>
      <c r="AB10" s="2">
        <f t="shared" si="6"/>
        <v>1965.6280000000024</v>
      </c>
      <c r="AC10" s="2">
        <f t="shared" si="6"/>
        <v>1907.2800000000002</v>
      </c>
      <c r="AD10" s="2">
        <f t="shared" si="6"/>
        <v>2015.4160000000022</v>
      </c>
      <c r="AE10" s="2">
        <f t="shared" si="6"/>
        <v>2201.7300000000018</v>
      </c>
      <c r="AF10" s="2">
        <f t="shared" si="6"/>
        <v>3404.380000000001</v>
      </c>
      <c r="AG10" s="2">
        <f t="shared" si="6"/>
        <v>3063.1490000000013</v>
      </c>
      <c r="AH10" s="2">
        <f t="shared" si="6"/>
        <v>3116.6139999999978</v>
      </c>
      <c r="AI10" s="2">
        <f t="shared" si="6"/>
        <v>2119.5189999999975</v>
      </c>
    </row>
    <row r="11" spans="1:46" x14ac:dyDescent="0.2">
      <c r="A11" t="s">
        <v>31</v>
      </c>
      <c r="B11" s="2">
        <v>185.845</v>
      </c>
      <c r="C11" s="2">
        <v>215.7</v>
      </c>
      <c r="D11" s="2">
        <v>158.572</v>
      </c>
      <c r="E11" s="2">
        <v>159.87100000000001</v>
      </c>
      <c r="F11" s="2">
        <v>190.709</v>
      </c>
      <c r="G11" s="2">
        <v>173.119</v>
      </c>
      <c r="H11" s="2">
        <v>139.35900000000001</v>
      </c>
      <c r="I11" s="2">
        <v>189.21299999999999</v>
      </c>
      <c r="J11" s="2">
        <v>153.82400000000001</v>
      </c>
      <c r="K11" s="2">
        <v>192.298</v>
      </c>
      <c r="L11" s="2">
        <v>192.298</v>
      </c>
      <c r="M11" s="2">
        <v>199.221</v>
      </c>
      <c r="N11" s="2">
        <v>143.44</v>
      </c>
      <c r="O11" s="2">
        <v>139.142</v>
      </c>
      <c r="P11" s="2">
        <v>74.938999999999993</v>
      </c>
      <c r="Q11" s="2">
        <v>100.724</v>
      </c>
      <c r="W11" s="2">
        <v>458.60399999999998</v>
      </c>
      <c r="X11" s="2">
        <v>544.73199999999997</v>
      </c>
      <c r="Y11" s="2">
        <v>603.21400000000006</v>
      </c>
      <c r="Z11" s="2">
        <v>615.51599999999996</v>
      </c>
      <c r="AA11" s="2">
        <v>687.94399999999996</v>
      </c>
      <c r="AB11" s="2">
        <v>714.495</v>
      </c>
      <c r="AC11" s="2">
        <v>368.32</v>
      </c>
      <c r="AD11" s="2">
        <v>425.94400000000002</v>
      </c>
      <c r="AE11" s="2">
        <v>489.17500000000001</v>
      </c>
      <c r="AF11" s="2">
        <v>749.33</v>
      </c>
      <c r="AG11" s="2">
        <v>663.91700000000003</v>
      </c>
      <c r="AH11" s="2">
        <v>700.625</v>
      </c>
      <c r="AI11" s="2">
        <v>458.245</v>
      </c>
    </row>
    <row r="12" spans="1:46" s="9" customFormat="1" x14ac:dyDescent="0.2">
      <c r="A12" s="9" t="s">
        <v>32</v>
      </c>
      <c r="B12" s="8">
        <f t="shared" ref="B12:Q12" si="7">+B10-B11</f>
        <v>650.44600000000094</v>
      </c>
      <c r="C12" s="8">
        <f t="shared" si="7"/>
        <v>787.60099999999966</v>
      </c>
      <c r="D12" s="8">
        <f t="shared" si="7"/>
        <v>574.25999999999988</v>
      </c>
      <c r="E12" s="8">
        <f t="shared" si="7"/>
        <v>535.43700000000001</v>
      </c>
      <c r="F12" s="8">
        <f t="shared" si="7"/>
        <v>677.74899999999957</v>
      </c>
      <c r="G12" s="8">
        <f t="shared" si="7"/>
        <v>637.01900000000069</v>
      </c>
      <c r="H12" s="8">
        <f t="shared" si="7"/>
        <v>489.03100000000018</v>
      </c>
      <c r="I12" s="8">
        <f t="shared" si="7"/>
        <v>642.74299999999971</v>
      </c>
      <c r="J12" s="8">
        <f t="shared" si="7"/>
        <v>552.65700000000129</v>
      </c>
      <c r="K12" s="8">
        <f t="shared" si="7"/>
        <v>678.03</v>
      </c>
      <c r="L12" s="8">
        <f t="shared" si="7"/>
        <v>489.15099999999961</v>
      </c>
      <c r="M12" s="8">
        <f t="shared" si="7"/>
        <v>659.13499999999908</v>
      </c>
      <c r="N12" s="8">
        <f t="shared" si="7"/>
        <v>514.38000000000011</v>
      </c>
      <c r="O12" s="8">
        <f t="shared" si="7"/>
        <v>468.83500000000078</v>
      </c>
      <c r="P12" s="8">
        <f t="shared" si="7"/>
        <v>276.24600000000021</v>
      </c>
      <c r="Q12" s="8">
        <f t="shared" si="7"/>
        <v>401.81299999999953</v>
      </c>
      <c r="W12" s="8">
        <f t="shared" ref="W12:AI12" si="8">+W10-W11</f>
        <v>766.68499999999972</v>
      </c>
      <c r="X12" s="8">
        <f t="shared" si="8"/>
        <v>952.66199999999981</v>
      </c>
      <c r="Y12" s="8">
        <f t="shared" si="8"/>
        <v>1025.2260000000024</v>
      </c>
      <c r="Z12" s="8">
        <f t="shared" si="8"/>
        <v>1065.3449999999993</v>
      </c>
      <c r="AA12" s="8">
        <f t="shared" si="8"/>
        <v>1165.0800000000027</v>
      </c>
      <c r="AB12" s="8">
        <f t="shared" si="8"/>
        <v>1251.1330000000025</v>
      </c>
      <c r="AC12" s="8">
        <f t="shared" si="8"/>
        <v>1538.9600000000003</v>
      </c>
      <c r="AD12" s="8">
        <f t="shared" si="8"/>
        <v>1589.4720000000023</v>
      </c>
      <c r="AE12" s="8">
        <f t="shared" si="8"/>
        <v>1712.5550000000019</v>
      </c>
      <c r="AF12" s="8">
        <f t="shared" si="8"/>
        <v>2655.0500000000011</v>
      </c>
      <c r="AG12" s="8">
        <f t="shared" si="8"/>
        <v>2399.2320000000013</v>
      </c>
      <c r="AH12" s="8">
        <f t="shared" si="8"/>
        <v>2415.9889999999978</v>
      </c>
      <c r="AI12" s="8">
        <f t="shared" si="8"/>
        <v>1661.2739999999976</v>
      </c>
    </row>
    <row r="13" spans="1:46" x14ac:dyDescent="0.2">
      <c r="A13" t="s">
        <v>33</v>
      </c>
      <c r="B13" s="5">
        <f t="shared" ref="B13:Q13" si="9">+B12/B14</f>
        <v>2.5645771152125008</v>
      </c>
      <c r="C13" s="5">
        <f t="shared" si="9"/>
        <v>3.1230461160236316</v>
      </c>
      <c r="D13" s="5">
        <f t="shared" si="9"/>
        <v>2.3056816949928329</v>
      </c>
      <c r="E13" s="5">
        <f t="shared" si="9"/>
        <v>2.0985514176197158</v>
      </c>
      <c r="F13" s="5">
        <f t="shared" si="9"/>
        <v>2.8204168938123422</v>
      </c>
      <c r="G13" s="5">
        <f t="shared" si="9"/>
        <v>2.6945974298452691</v>
      </c>
      <c r="H13" s="5">
        <f t="shared" si="9"/>
        <v>2.0896438857220998</v>
      </c>
      <c r="I13" s="5">
        <f t="shared" si="9"/>
        <v>2.6189191722047229</v>
      </c>
      <c r="J13" s="5">
        <f t="shared" si="9"/>
        <v>2.4069483339067776</v>
      </c>
      <c r="K13" s="5">
        <f t="shared" si="9"/>
        <v>2.9809281795160385</v>
      </c>
      <c r="L13" s="5">
        <f t="shared" si="9"/>
        <v>2.1505302124366894</v>
      </c>
      <c r="M13" s="5">
        <f t="shared" si="9"/>
        <v>2.9597174699823041</v>
      </c>
      <c r="N13" s="5">
        <f t="shared" si="9"/>
        <v>2.3369542994997894</v>
      </c>
      <c r="O13" s="5">
        <f t="shared" si="9"/>
        <v>2.1315332436167926</v>
      </c>
      <c r="P13" s="5">
        <f t="shared" si="9"/>
        <v>1.2568119054226825</v>
      </c>
      <c r="Q13" s="5">
        <f t="shared" si="9"/>
        <v>1.8273114651216706</v>
      </c>
      <c r="W13" s="5">
        <f t="shared" ref="W13:AI13" si="10">+W12/W14</f>
        <v>2.2215219766050343</v>
      </c>
      <c r="X13" s="5">
        <f t="shared" si="10"/>
        <v>2.848281903554589</v>
      </c>
      <c r="Y13" s="5">
        <f t="shared" si="10"/>
        <v>3.165704298850724</v>
      </c>
      <c r="Z13" s="5">
        <f t="shared" si="10"/>
        <v>3.4851528227138728</v>
      </c>
      <c r="AA13" s="5">
        <f t="shared" si="10"/>
        <v>3.9466009057928146</v>
      </c>
      <c r="AB13" s="5">
        <f t="shared" si="10"/>
        <v>4.4325393873046668</v>
      </c>
      <c r="AC13" s="5">
        <f t="shared" si="10"/>
        <v>5.6297510261118964</v>
      </c>
      <c r="AD13" s="5">
        <f t="shared" si="10"/>
        <v>5.9731008436519497</v>
      </c>
      <c r="AE13" s="5">
        <f t="shared" si="10"/>
        <v>6.6364467764374062</v>
      </c>
      <c r="AF13" s="5">
        <f t="shared" si="10"/>
        <v>10.616972440378129</v>
      </c>
      <c r="AG13" s="5">
        <f t="shared" si="10"/>
        <v>10.174342272657885</v>
      </c>
      <c r="AH13" s="5">
        <f t="shared" si="10"/>
        <v>10.676186604329699</v>
      </c>
      <c r="AI13" s="5">
        <f t="shared" si="10"/>
        <v>7.5533741327101174</v>
      </c>
    </row>
    <row r="14" spans="1:46" x14ac:dyDescent="0.2">
      <c r="A14" t="s">
        <v>4</v>
      </c>
      <c r="B14" s="2">
        <v>253.62700000000001</v>
      </c>
      <c r="C14" s="2">
        <v>252.19</v>
      </c>
      <c r="D14" s="2">
        <v>249.06299999999999</v>
      </c>
      <c r="E14" s="2">
        <v>255.14599999999999</v>
      </c>
      <c r="F14" s="2">
        <v>240.30099999999999</v>
      </c>
      <c r="G14" s="2">
        <v>236.40600000000001</v>
      </c>
      <c r="H14" s="2">
        <v>234.02600000000001</v>
      </c>
      <c r="I14" s="2">
        <v>245.423</v>
      </c>
      <c r="J14" s="2">
        <v>229.60900000000001</v>
      </c>
      <c r="K14" s="2">
        <v>227.45599999999999</v>
      </c>
      <c r="L14" s="2">
        <v>227.45599999999999</v>
      </c>
      <c r="M14" s="2">
        <v>222.702</v>
      </c>
      <c r="N14" s="2">
        <v>220.107</v>
      </c>
      <c r="O14" s="2">
        <v>219.952</v>
      </c>
      <c r="P14" s="2">
        <v>219.79900000000001</v>
      </c>
      <c r="Q14" s="2">
        <v>219.893</v>
      </c>
      <c r="W14" s="2">
        <v>345.11700000000002</v>
      </c>
      <c r="X14" s="2">
        <v>334.46899999999999</v>
      </c>
      <c r="Y14" s="2">
        <v>323.85399999999998</v>
      </c>
      <c r="Z14" s="2">
        <v>305.68099999999998</v>
      </c>
      <c r="AA14" s="2">
        <v>295.21100000000001</v>
      </c>
      <c r="AB14" s="2">
        <v>282.26100000000002</v>
      </c>
      <c r="AC14" s="2">
        <v>273.36200000000002</v>
      </c>
      <c r="AD14" s="2">
        <v>266.10500000000002</v>
      </c>
      <c r="AE14" s="2">
        <v>258.053</v>
      </c>
      <c r="AF14" s="2">
        <v>250.07599999999999</v>
      </c>
      <c r="AG14" s="2">
        <v>235.81200000000001</v>
      </c>
      <c r="AH14" s="2">
        <v>226.297</v>
      </c>
      <c r="AI14" s="2">
        <v>219.93799999999999</v>
      </c>
    </row>
    <row r="15" spans="1:46" x14ac:dyDescent="0.2"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</row>
    <row r="16" spans="1:46" s="6" customFormat="1" x14ac:dyDescent="0.2">
      <c r="A16" s="6" t="s">
        <v>35</v>
      </c>
      <c r="B16" s="6">
        <f t="shared" ref="B16:Q16" si="11">+B6/B4</f>
        <v>0.30723887899423913</v>
      </c>
      <c r="C16" s="6">
        <f t="shared" si="11"/>
        <v>0.32452289152270181</v>
      </c>
      <c r="D16" s="6">
        <f t="shared" si="11"/>
        <v>0.31321432382578468</v>
      </c>
      <c r="E16" s="6">
        <f t="shared" si="11"/>
        <v>0.31752957188973685</v>
      </c>
      <c r="F16" s="6">
        <f t="shared" si="11"/>
        <v>0.32801807030716945</v>
      </c>
      <c r="G16" s="6">
        <f t="shared" si="11"/>
        <v>0.31648512554279112</v>
      </c>
      <c r="H16" s="6">
        <f t="shared" si="11"/>
        <v>0.30768644806550927</v>
      </c>
      <c r="I16" s="6">
        <f t="shared" si="11"/>
        <v>0.32523467756464891</v>
      </c>
      <c r="J16" s="6">
        <f t="shared" si="11"/>
        <v>0.31290742276164885</v>
      </c>
      <c r="K16" s="6">
        <f t="shared" si="11"/>
        <v>0.32339442119657158</v>
      </c>
      <c r="L16" s="6">
        <f t="shared" si="11"/>
        <v>0.30483129705350015</v>
      </c>
      <c r="M16" s="6">
        <f t="shared" si="11"/>
        <v>0.3085705867945282</v>
      </c>
      <c r="N16" s="6">
        <f t="shared" si="11"/>
        <v>0.31633598891642278</v>
      </c>
      <c r="O16" s="6">
        <f t="shared" si="11"/>
        <v>0.31080336306566819</v>
      </c>
      <c r="P16" s="6">
        <f t="shared" si="11"/>
        <v>0.29012834840885399</v>
      </c>
      <c r="Q16" s="6">
        <f t="shared" si="11"/>
        <v>0.29480467340209687</v>
      </c>
      <c r="W16" s="6">
        <f t="shared" ref="W16:AI16" si="12">+W6/W4</f>
        <v>0.31727225993213565</v>
      </c>
      <c r="X16" s="6">
        <f t="shared" si="12"/>
        <v>0.31739860023587374</v>
      </c>
      <c r="Y16" s="6">
        <f t="shared" si="12"/>
        <v>0.31053988458862403</v>
      </c>
      <c r="Z16" s="6">
        <f t="shared" si="12"/>
        <v>0.30685528420820168</v>
      </c>
      <c r="AA16" s="6">
        <f t="shared" si="12"/>
        <v>0.30959922453043087</v>
      </c>
      <c r="AB16" s="6">
        <f t="shared" si="12"/>
        <v>0.30848965356077379</v>
      </c>
      <c r="AC16" s="6">
        <f t="shared" si="12"/>
        <v>0.30767198471200613</v>
      </c>
      <c r="AD16" s="6">
        <f t="shared" si="12"/>
        <v>0.30454075725843671</v>
      </c>
      <c r="AE16" s="6">
        <f t="shared" si="12"/>
        <v>0.30586831658299879</v>
      </c>
      <c r="AF16" s="6">
        <f t="shared" si="12"/>
        <v>0.31762565969511991</v>
      </c>
      <c r="AG16" s="6">
        <f t="shared" si="12"/>
        <v>0.31598083356533402</v>
      </c>
      <c r="AH16" s="6">
        <f t="shared" si="12"/>
        <v>0.31233031547769108</v>
      </c>
      <c r="AI16" s="6">
        <f t="shared" si="12"/>
        <v>0.30288282919430926</v>
      </c>
    </row>
    <row r="17" spans="1:35" s="6" customFormat="1" x14ac:dyDescent="0.2">
      <c r="A17" s="6" t="s">
        <v>36</v>
      </c>
      <c r="B17" s="6">
        <f t="shared" ref="B17:Q17" si="13">+B8/B4</f>
        <v>0.10259681984231674</v>
      </c>
      <c r="C17" s="6">
        <f t="shared" si="13"/>
        <v>0.12005965748762612</v>
      </c>
      <c r="D17" s="6">
        <f t="shared" si="13"/>
        <v>9.4288458313642382E-2</v>
      </c>
      <c r="E17" s="6">
        <f t="shared" si="13"/>
        <v>0.10071403403523116</v>
      </c>
      <c r="F17" s="6">
        <f t="shared" si="13"/>
        <v>0.10818401316801259</v>
      </c>
      <c r="G17" s="6">
        <f t="shared" si="13"/>
        <v>9.8213705628472397E-2</v>
      </c>
      <c r="H17" s="6">
        <f t="shared" si="13"/>
        <v>7.8356879748549269E-2</v>
      </c>
      <c r="I17" s="6">
        <f t="shared" si="13"/>
        <v>0.10365696265171978</v>
      </c>
      <c r="J17" s="6">
        <f t="shared" si="13"/>
        <v>8.526191153092702E-2</v>
      </c>
      <c r="K17" s="6">
        <f t="shared" si="13"/>
        <v>9.6907894394832508E-2</v>
      </c>
      <c r="L17" s="6">
        <f t="shared" si="13"/>
        <v>7.771299215173208E-2</v>
      </c>
      <c r="M17" s="6">
        <f t="shared" si="13"/>
        <v>9.1461580508378562E-2</v>
      </c>
      <c r="N17" s="6">
        <f t="shared" si="13"/>
        <v>7.9296941227242457E-2</v>
      </c>
      <c r="O17" s="6">
        <f t="shared" si="13"/>
        <v>7.0671826092229287E-2</v>
      </c>
      <c r="P17" s="6">
        <f t="shared" si="13"/>
        <v>4.4715322193478471E-2</v>
      </c>
      <c r="Q17" s="6">
        <f t="shared" si="13"/>
        <v>5.8797299471299587E-2</v>
      </c>
      <c r="W17" s="6">
        <f t="shared" ref="W17:AI17" si="14">+W8/W4</f>
        <v>0.1006811016379342</v>
      </c>
      <c r="X17" s="6">
        <f t="shared" si="14"/>
        <v>0.1033118696842267</v>
      </c>
      <c r="Y17" s="6">
        <f t="shared" si="14"/>
        <v>9.9186953597963395E-2</v>
      </c>
      <c r="Z17" s="6">
        <f t="shared" si="14"/>
        <v>9.3555343458567128E-2</v>
      </c>
      <c r="AA17" s="6">
        <f t="shared" si="14"/>
        <v>9.525925296051839E-2</v>
      </c>
      <c r="AB17" s="6">
        <f t="shared" si="14"/>
        <v>9.3850308265062299E-2</v>
      </c>
      <c r="AC17" s="6">
        <f t="shared" si="14"/>
        <v>8.5544749817934654E-2</v>
      </c>
      <c r="AD17" s="6">
        <f t="shared" si="14"/>
        <v>8.2587412633805229E-2</v>
      </c>
      <c r="AE17" s="6">
        <f t="shared" si="14"/>
        <v>8.295403328381136E-2</v>
      </c>
      <c r="AF17" s="6">
        <f t="shared" si="14"/>
        <v>0.10533623608421522</v>
      </c>
      <c r="AG17" s="6">
        <f t="shared" si="14"/>
        <v>9.4115509705907166E-2</v>
      </c>
      <c r="AH17" s="6">
        <f t="shared" si="14"/>
        <v>8.7945938660155751E-2</v>
      </c>
      <c r="AI17" s="6">
        <f t="shared" si="14"/>
        <v>6.3225594986241015E-2</v>
      </c>
    </row>
    <row r="18" spans="1:35" s="6" customFormat="1" x14ac:dyDescent="0.2">
      <c r="A18" s="6" t="s">
        <v>37</v>
      </c>
      <c r="B18" s="6">
        <f t="shared" ref="B18:Q18" si="15">+B12/B4</f>
        <v>7.698998952352093E-2</v>
      </c>
      <c r="C18" s="6">
        <f t="shared" si="15"/>
        <v>9.0693130234409627E-2</v>
      </c>
      <c r="D18" s="6">
        <f t="shared" si="15"/>
        <v>7.003491013308534E-2</v>
      </c>
      <c r="E18" s="6">
        <f t="shared" si="15"/>
        <v>7.4806339853264528E-2</v>
      </c>
      <c r="F18" s="6">
        <f t="shared" si="15"/>
        <v>8.0675146328445108E-2</v>
      </c>
      <c r="G18" s="6">
        <f t="shared" si="15"/>
        <v>7.3642129347790727E-2</v>
      </c>
      <c r="H18" s="6">
        <f t="shared" si="15"/>
        <v>5.7399089348988894E-2</v>
      </c>
      <c r="I18" s="6">
        <f t="shared" si="15"/>
        <v>7.6384950592570625E-2</v>
      </c>
      <c r="J18" s="6">
        <f t="shared" si="15"/>
        <v>6.3151042261812951E-2</v>
      </c>
      <c r="K18" s="6">
        <f t="shared" si="15"/>
        <v>7.1934080742751233E-2</v>
      </c>
      <c r="L18" s="6">
        <f t="shared" si="15"/>
        <v>5.1680574028797548E-2</v>
      </c>
      <c r="M18" s="6">
        <f t="shared" si="15"/>
        <v>6.4602666671371128E-2</v>
      </c>
      <c r="N18" s="6">
        <f t="shared" si="15"/>
        <v>5.5056111465988052E-2</v>
      </c>
      <c r="O18" s="6">
        <f t="shared" si="15"/>
        <v>4.7858956464769356E-2</v>
      </c>
      <c r="P18" s="6">
        <f t="shared" si="15"/>
        <v>2.8496354786353179E-2</v>
      </c>
      <c r="Q18" s="6">
        <f t="shared" si="15"/>
        <v>4.0757968188714806E-2</v>
      </c>
      <c r="W18" s="6">
        <f t="shared" ref="W18:AI18" si="16">+W12/W4</f>
        <v>5.1777893277238037E-2</v>
      </c>
      <c r="X18" s="6">
        <f t="shared" si="16"/>
        <v>5.9459143005223758E-2</v>
      </c>
      <c r="Y18" s="6">
        <f t="shared" si="16"/>
        <v>5.857039640903805E-2</v>
      </c>
      <c r="Z18" s="6">
        <f t="shared" si="16"/>
        <v>5.6338879514455806E-2</v>
      </c>
      <c r="AA18" s="6">
        <f t="shared" si="16"/>
        <v>5.7199914260024964E-2</v>
      </c>
      <c r="AB18" s="6">
        <f t="shared" si="16"/>
        <v>5.6904346911696047E-2</v>
      </c>
      <c r="AC18" s="6">
        <f t="shared" si="16"/>
        <v>6.556866617383085E-2</v>
      </c>
      <c r="AD18" s="6">
        <f t="shared" si="16"/>
        <v>6.2028071523626403E-2</v>
      </c>
      <c r="AE18" s="6">
        <f t="shared" si="16"/>
        <v>6.1704859336715566E-2</v>
      </c>
      <c r="AF18" s="6">
        <f t="shared" si="16"/>
        <v>7.8675516838777146E-2</v>
      </c>
      <c r="AG18" s="6">
        <f t="shared" si="16"/>
        <v>7.0111061371520914E-2</v>
      </c>
      <c r="AH18" s="6">
        <f t="shared" si="16"/>
        <v>6.3839285136267979E-2</v>
      </c>
      <c r="AI18" s="6">
        <f t="shared" si="16"/>
        <v>4.2936286262998204E-2</v>
      </c>
    </row>
    <row r="19" spans="1:35" s="6" customFormat="1" x14ac:dyDescent="0.2">
      <c r="A19" s="6" t="s">
        <v>38</v>
      </c>
      <c r="B19" s="6">
        <f t="shared" ref="B19:Q19" si="17">+B11/B10</f>
        <v>0.22222527804316894</v>
      </c>
      <c r="C19" s="6">
        <f t="shared" si="17"/>
        <v>0.21499031696370288</v>
      </c>
      <c r="D19" s="6">
        <f t="shared" si="17"/>
        <v>0.21638247238111877</v>
      </c>
      <c r="E19" s="6">
        <f t="shared" si="17"/>
        <v>0.2299283195360905</v>
      </c>
      <c r="F19" s="6">
        <f t="shared" si="17"/>
        <v>0.21959496026290284</v>
      </c>
      <c r="G19" s="6">
        <f t="shared" si="17"/>
        <v>0.21369075392093673</v>
      </c>
      <c r="H19" s="6">
        <f t="shared" si="17"/>
        <v>0.22177151132258624</v>
      </c>
      <c r="I19" s="6">
        <f t="shared" si="17"/>
        <v>0.22743149878118563</v>
      </c>
      <c r="J19" s="6">
        <f t="shared" si="17"/>
        <v>0.21773267787810252</v>
      </c>
      <c r="K19" s="6">
        <f t="shared" si="17"/>
        <v>0.22094888363927165</v>
      </c>
      <c r="L19" s="6">
        <f t="shared" si="17"/>
        <v>0.28218986307119109</v>
      </c>
      <c r="M19" s="6">
        <f t="shared" si="17"/>
        <v>0.23209600678506379</v>
      </c>
      <c r="N19" s="6">
        <f t="shared" si="17"/>
        <v>0.21805357088565255</v>
      </c>
      <c r="O19" s="6">
        <f t="shared" si="17"/>
        <v>0.22886063124098416</v>
      </c>
      <c r="P19" s="6">
        <f t="shared" si="17"/>
        <v>0.21338895453962997</v>
      </c>
      <c r="Q19" s="6">
        <f t="shared" si="17"/>
        <v>0.20043101303983607</v>
      </c>
      <c r="W19" s="6">
        <f t="shared" ref="W19:AI19" si="18">+W11/W10</f>
        <v>0.37428231217288338</v>
      </c>
      <c r="X19" s="6">
        <f t="shared" si="18"/>
        <v>0.36378668540143744</v>
      </c>
      <c r="Y19" s="6">
        <f t="shared" si="18"/>
        <v>0.37042445530691903</v>
      </c>
      <c r="Z19" s="6">
        <f t="shared" si="18"/>
        <v>0.3661908985930426</v>
      </c>
      <c r="AA19" s="6">
        <f t="shared" si="18"/>
        <v>0.3712547705804129</v>
      </c>
      <c r="AB19" s="6">
        <f t="shared" si="18"/>
        <v>0.36349451676512501</v>
      </c>
      <c r="AC19" s="6">
        <f t="shared" si="18"/>
        <v>0.1931127050039847</v>
      </c>
      <c r="AD19" s="6">
        <f t="shared" si="18"/>
        <v>0.21134296839957584</v>
      </c>
      <c r="AE19" s="6">
        <f t="shared" si="18"/>
        <v>0.22217756037297925</v>
      </c>
      <c r="AF19" s="6">
        <f t="shared" si="18"/>
        <v>0.22010762605819556</v>
      </c>
      <c r="AG19" s="6">
        <f t="shared" si="18"/>
        <v>0.21674329260509356</v>
      </c>
      <c r="AH19" s="6">
        <f t="shared" si="18"/>
        <v>0.22480326405515746</v>
      </c>
      <c r="AI19" s="6">
        <f t="shared" si="18"/>
        <v>0.21620235534571786</v>
      </c>
    </row>
    <row r="21" spans="1:35" s="7" customFormat="1" x14ac:dyDescent="0.2">
      <c r="A21" s="7" t="s">
        <v>39</v>
      </c>
      <c r="F21" s="7">
        <f t="shared" ref="F21:Q21" si="19">+F4/B4-1</f>
        <v>-5.6205582823546374E-3</v>
      </c>
      <c r="G21" s="7">
        <f t="shared" si="19"/>
        <v>-3.9200892743533888E-3</v>
      </c>
      <c r="H21" s="7">
        <f t="shared" si="19"/>
        <v>3.9052273732030462E-2</v>
      </c>
      <c r="I21" s="7">
        <f t="shared" si="19"/>
        <v>0.17560000905326079</v>
      </c>
      <c r="J21" s="7">
        <f t="shared" si="19"/>
        <v>4.170807064522597E-2</v>
      </c>
      <c r="K21" s="7">
        <f t="shared" si="19"/>
        <v>8.9652861125259831E-2</v>
      </c>
      <c r="L21" s="7">
        <f t="shared" si="19"/>
        <v>0.11092369233737864</v>
      </c>
      <c r="M21" s="7">
        <f t="shared" si="19"/>
        <v>0.21253525451944766</v>
      </c>
      <c r="N21" s="7">
        <f t="shared" si="19"/>
        <v>6.758727108679885E-2</v>
      </c>
      <c r="O21" s="7">
        <f t="shared" si="19"/>
        <v>3.9303976261530593E-2</v>
      </c>
      <c r="P21" s="7">
        <f t="shared" si="19"/>
        <v>2.4214858892722679E-2</v>
      </c>
      <c r="Q21" s="7">
        <f t="shared" si="19"/>
        <v>-3.3754399603955987E-2</v>
      </c>
      <c r="X21" s="7">
        <f>+X4/W4-1</f>
        <v>8.205069051598457E-2</v>
      </c>
      <c r="Y21" s="7">
        <f t="shared" ref="Y21:Z21" si="20">+Y4/X4-1</f>
        <v>9.249951067673412E-2</v>
      </c>
      <c r="Z21" s="7">
        <f t="shared" si="20"/>
        <v>8.02906530770644E-2</v>
      </c>
      <c r="AA21" s="7">
        <f t="shared" ref="AA21:AB21" si="21">+AA4/Z4-1</f>
        <v>7.7155250553317289E-2</v>
      </c>
      <c r="AB21" s="7">
        <f t="shared" si="21"/>
        <v>7.9437910246192178E-2</v>
      </c>
      <c r="AC21" s="7">
        <f t="shared" ref="AC21:AD21" si="22">+AC4/AB4-1</f>
        <v>6.7512445536139776E-2</v>
      </c>
      <c r="AD21" s="7">
        <f t="shared" si="22"/>
        <v>9.1776193115520099E-2</v>
      </c>
      <c r="AE21" s="7">
        <f t="shared" ref="AE21:AF21" si="23">+AE4/AD4-1</f>
        <v>8.3080055709565004E-2</v>
      </c>
      <c r="AF21" s="7">
        <f t="shared" si="23"/>
        <v>0.2159282204389259</v>
      </c>
      <c r="AG21" s="7">
        <f t="shared" ref="AG21:AH21" si="24">+AG4/AF4-1</f>
        <v>1.4034203321976246E-2</v>
      </c>
      <c r="AH21" s="7">
        <f t="shared" si="24"/>
        <v>0.10591368920963018</v>
      </c>
      <c r="AI21" s="7">
        <f t="shared" ref="AI21" si="25">+AI4/AH4-1</f>
        <v>2.2374133049444467E-2</v>
      </c>
    </row>
    <row r="22" spans="1:35" s="6" customFormat="1" x14ac:dyDescent="0.2">
      <c r="A22" s="6" t="s">
        <v>40</v>
      </c>
      <c r="F22" s="6">
        <f t="shared" ref="F22:Q22" si="26">+F7/B7-1</f>
        <v>6.8199117593301661E-2</v>
      </c>
      <c r="G22" s="6">
        <f t="shared" si="26"/>
        <v>6.3349004960554289E-2</v>
      </c>
      <c r="H22" s="6">
        <f t="shared" si="26"/>
        <v>8.842967840410898E-2</v>
      </c>
      <c r="I22" s="6">
        <f t="shared" si="26"/>
        <v>0.20142110770880373</v>
      </c>
      <c r="J22" s="6">
        <f t="shared" si="26"/>
        <v>7.8723512549693453E-2</v>
      </c>
      <c r="K22" s="6">
        <f t="shared" si="26"/>
        <v>0.13066425294119832</v>
      </c>
      <c r="L22" s="6">
        <f t="shared" si="26"/>
        <v>0.10021183805725209</v>
      </c>
      <c r="M22" s="6">
        <f t="shared" si="26"/>
        <v>0.18808123054743153</v>
      </c>
      <c r="N22" s="6">
        <f t="shared" si="26"/>
        <v>0.11164006131896009</v>
      </c>
      <c r="O22" s="6">
        <f t="shared" si="26"/>
        <v>0.10191835570314178</v>
      </c>
      <c r="P22" s="6">
        <f t="shared" si="26"/>
        <v>0.10671690740353079</v>
      </c>
      <c r="Q22" s="6">
        <f t="shared" si="26"/>
        <v>5.0352956897139256E-2</v>
      </c>
      <c r="X22" s="6">
        <f>+X7/W7-1</f>
        <v>6.9539017419442795E-2</v>
      </c>
      <c r="Y22" s="6">
        <f t="shared" ref="Y22:Z22" si="27">+Y7/X7-1</f>
        <v>7.8548740935097117E-2</v>
      </c>
      <c r="Z22" s="6">
        <f t="shared" si="27"/>
        <v>9.0242426322935554E-2</v>
      </c>
      <c r="AA22" s="6">
        <f t="shared" ref="AA22:AB22" si="28">+AA7/Z7-1</f>
        <v>8.2407360117260353E-2</v>
      </c>
      <c r="AB22" s="6">
        <f t="shared" si="28"/>
        <v>8.094558679663777E-2</v>
      </c>
      <c r="AC22" s="6">
        <f t="shared" ref="AC22:AD22" si="29">+AC7/AB7-1</f>
        <v>0.1047535921956082</v>
      </c>
      <c r="AD22" s="6">
        <f t="shared" si="29"/>
        <v>9.0921506131820928E-2</v>
      </c>
      <c r="AE22" s="6">
        <f t="shared" ref="AE22:AF22" si="30">+AE7/AD7-1</f>
        <v>8.7769210157459199E-2</v>
      </c>
      <c r="AF22" s="6">
        <f t="shared" si="30"/>
        <v>0.15797290890849602</v>
      </c>
      <c r="AG22" s="6">
        <f t="shared" ref="AG22:AH22" si="31">+AG7/AF7-1</f>
        <v>5.9775014213235833E-2</v>
      </c>
      <c r="AH22" s="6">
        <f t="shared" si="31"/>
        <v>0.11847020368316397</v>
      </c>
      <c r="AI22" s="6">
        <f t="shared" ref="AI22" si="32">+AI7/AH7-1</f>
        <v>9.1962642531685956E-2</v>
      </c>
    </row>
    <row r="24" spans="1:35" x14ac:dyDescent="0.2">
      <c r="A24" t="s">
        <v>45</v>
      </c>
      <c r="E24" s="2">
        <f t="shared" ref="E24:Q24" si="33">+E25-E34</f>
        <v>-2754.3980000000001</v>
      </c>
      <c r="F24" s="2">
        <f t="shared" si="33"/>
        <v>-3442.6550000000002</v>
      </c>
      <c r="G24" s="2">
        <f t="shared" si="33"/>
        <v>-3843.0990000000002</v>
      </c>
      <c r="H24" s="2">
        <f t="shared" si="33"/>
        <v>-3638.7640000000006</v>
      </c>
      <c r="I24" s="2">
        <f t="shared" si="33"/>
        <v>-3827.239</v>
      </c>
      <c r="J24" s="2">
        <f t="shared" si="33"/>
        <v>-4512.4839999999995</v>
      </c>
      <c r="K24" s="2">
        <f t="shared" si="33"/>
        <v>-4865.0720000000001</v>
      </c>
      <c r="L24" s="2">
        <f t="shared" si="33"/>
        <v>-5622.9970000000003</v>
      </c>
      <c r="M24" s="2">
        <f t="shared" si="33"/>
        <v>-6627.8230000000003</v>
      </c>
      <c r="N24" s="2">
        <f t="shared" si="33"/>
        <v>-6965.7029999999995</v>
      </c>
      <c r="O24" s="2">
        <f t="shared" si="33"/>
        <v>-6942.1970000000001</v>
      </c>
      <c r="P24" s="2">
        <f t="shared" si="33"/>
        <v>-6825.3980000000001</v>
      </c>
      <c r="Q24" s="2">
        <f t="shared" si="33"/>
        <v>-6462.9009999999989</v>
      </c>
      <c r="AF24" s="2">
        <f>+AF25-AF34</f>
        <v>-2754.3980000000001</v>
      </c>
      <c r="AG24" s="2">
        <f>+AG25-AG34</f>
        <v>-3827.239</v>
      </c>
      <c r="AH24" s="2">
        <f>+AH25-AH34</f>
        <v>-6627.8230000000003</v>
      </c>
      <c r="AI24" s="2">
        <f>+AI25-AI34</f>
        <v>-6462.9009999999989</v>
      </c>
    </row>
    <row r="25" spans="1:35" x14ac:dyDescent="0.2">
      <c r="A25" t="s">
        <v>6</v>
      </c>
      <c r="E25" s="2">
        <v>1376.577</v>
      </c>
      <c r="F25" s="2">
        <v>688.05499999999995</v>
      </c>
      <c r="G25" s="2">
        <v>313.666</v>
      </c>
      <c r="H25" s="2">
        <v>488.66199999999998</v>
      </c>
      <c r="I25" s="2">
        <v>344.82900000000001</v>
      </c>
      <c r="J25" s="2">
        <v>335.613</v>
      </c>
      <c r="K25" s="2">
        <v>326.26299999999998</v>
      </c>
      <c r="L25" s="2">
        <v>362.73099999999999</v>
      </c>
      <c r="M25" s="2">
        <v>381.57600000000002</v>
      </c>
      <c r="N25" s="2">
        <v>313.06400000000002</v>
      </c>
      <c r="O25" s="2">
        <v>353.01799999999997</v>
      </c>
      <c r="P25" s="2">
        <v>365.447</v>
      </c>
      <c r="Q25" s="2">
        <v>537.28300000000002</v>
      </c>
      <c r="AF25" s="2">
        <v>1376.577</v>
      </c>
      <c r="AG25" s="2">
        <v>344.82900000000001</v>
      </c>
      <c r="AH25" s="2">
        <v>381.57600000000002</v>
      </c>
      <c r="AI25" s="2">
        <v>537.28300000000002</v>
      </c>
    </row>
    <row r="26" spans="1:35" x14ac:dyDescent="0.2">
      <c r="A26" t="s">
        <v>46</v>
      </c>
      <c r="E26" s="2">
        <v>5247.4769999999999</v>
      </c>
      <c r="F26" s="2">
        <v>5099.4650000000001</v>
      </c>
      <c r="G26" s="2">
        <v>5279.2730000000001</v>
      </c>
      <c r="H26" s="2">
        <v>5298.8590000000004</v>
      </c>
      <c r="I26" s="2">
        <v>5614.3249999999998</v>
      </c>
      <c r="J26" s="2">
        <v>6087.3990000000003</v>
      </c>
      <c r="K26" s="2">
        <v>6935.8559999999998</v>
      </c>
      <c r="L26" s="2">
        <v>7144.7219999999998</v>
      </c>
      <c r="M26" s="2">
        <v>6760.7330000000002</v>
      </c>
      <c r="N26" s="2">
        <v>7335.8450000000003</v>
      </c>
      <c r="O26" s="2">
        <v>7531.4589999999998</v>
      </c>
      <c r="P26" s="2">
        <v>7356.0649999999996</v>
      </c>
      <c r="Q26" s="2">
        <v>6994.2659999999996</v>
      </c>
      <c r="AF26" s="2">
        <v>5247.4769999999999</v>
      </c>
      <c r="AG26" s="2">
        <v>5614.3249999999998</v>
      </c>
      <c r="AH26" s="2">
        <v>6760.7330000000002</v>
      </c>
      <c r="AI26" s="2">
        <v>6994.2659999999996</v>
      </c>
    </row>
    <row r="27" spans="1:35" x14ac:dyDescent="0.2">
      <c r="A27" t="s">
        <v>31</v>
      </c>
      <c r="E27" s="2">
        <v>90.76</v>
      </c>
      <c r="F27" s="2">
        <v>16.637</v>
      </c>
      <c r="G27" s="2">
        <v>127.011</v>
      </c>
      <c r="H27" s="2">
        <v>120.374</v>
      </c>
      <c r="I27" s="2">
        <v>97.394000000000005</v>
      </c>
      <c r="J27" s="2">
        <v>33.576000000000001</v>
      </c>
      <c r="K27" s="2">
        <v>93.283000000000001</v>
      </c>
      <c r="L27" s="2">
        <v>188.08199999999999</v>
      </c>
      <c r="M27" s="2">
        <v>135.77500000000001</v>
      </c>
      <c r="N27" s="2">
        <v>50.863</v>
      </c>
      <c r="O27" s="2">
        <v>151.72999999999999</v>
      </c>
      <c r="P27" s="2">
        <v>197.55500000000001</v>
      </c>
      <c r="Q27" s="2">
        <v>112.262</v>
      </c>
      <c r="AF27" s="2">
        <v>90.76</v>
      </c>
      <c r="AG27" s="2">
        <v>97.394000000000005</v>
      </c>
      <c r="AH27" s="2">
        <v>135.77500000000001</v>
      </c>
      <c r="AI27" s="2">
        <v>112.262</v>
      </c>
    </row>
    <row r="28" spans="1:35" x14ac:dyDescent="0.2">
      <c r="A28" t="s">
        <v>47</v>
      </c>
      <c r="E28" s="2">
        <v>199.405</v>
      </c>
      <c r="F28" s="2">
        <v>237.58799999999999</v>
      </c>
      <c r="G28" s="2">
        <v>272.76799999999997</v>
      </c>
      <c r="H28" s="2">
        <v>273.93900000000002</v>
      </c>
      <c r="I28" s="2">
        <v>247.29499999999999</v>
      </c>
      <c r="J28" s="2">
        <v>280.28199999999998</v>
      </c>
      <c r="K28" s="2">
        <v>327.49</v>
      </c>
      <c r="L28" s="2">
        <v>321.48099999999999</v>
      </c>
      <c r="M28" s="2">
        <v>302.82499999999999</v>
      </c>
      <c r="N28" s="2">
        <v>355.68799999999999</v>
      </c>
      <c r="O28" s="2">
        <v>377.77199999999999</v>
      </c>
      <c r="P28" s="2">
        <v>352.01100000000002</v>
      </c>
      <c r="Q28" s="2">
        <v>366.91300000000001</v>
      </c>
      <c r="AF28" s="2">
        <v>199.405</v>
      </c>
      <c r="AG28" s="2">
        <v>247.29499999999999</v>
      </c>
      <c r="AH28" s="2">
        <v>302.82499999999999</v>
      </c>
      <c r="AI28" s="2">
        <v>366.91300000000001</v>
      </c>
    </row>
    <row r="29" spans="1:35" x14ac:dyDescent="0.2">
      <c r="A29" t="s">
        <v>48</v>
      </c>
      <c r="E29" s="2">
        <v>3899.9969999999998</v>
      </c>
      <c r="F29" s="2">
        <v>3999.17</v>
      </c>
      <c r="G29" s="2">
        <v>4104.1930000000002</v>
      </c>
      <c r="H29" s="2">
        <v>4177.8710000000001</v>
      </c>
      <c r="I29" s="2">
        <v>4346.1270000000004</v>
      </c>
      <c r="J29" s="2">
        <v>4451.0280000000002</v>
      </c>
      <c r="K29" s="2">
        <v>4648.1869999999999</v>
      </c>
      <c r="L29" s="2">
        <v>4927.45</v>
      </c>
      <c r="M29" s="2">
        <v>5236.3090000000002</v>
      </c>
      <c r="N29" s="2">
        <v>5420.134</v>
      </c>
      <c r="O29" s="2">
        <v>5624.1289999999999</v>
      </c>
      <c r="P29" s="2">
        <v>5848.3850000000002</v>
      </c>
      <c r="Q29" s="2">
        <v>6087.7219999999998</v>
      </c>
      <c r="AF29" s="2">
        <v>3899.9969999999998</v>
      </c>
      <c r="AG29" s="2">
        <v>4346.1270000000004</v>
      </c>
      <c r="AH29" s="2">
        <v>5236.3090000000002</v>
      </c>
      <c r="AI29" s="2">
        <v>6087.7219999999998</v>
      </c>
    </row>
    <row r="30" spans="1:35" x14ac:dyDescent="0.2">
      <c r="A30" t="s">
        <v>49</v>
      </c>
      <c r="E30" s="2">
        <v>9473.33</v>
      </c>
      <c r="F30" s="2">
        <v>9614.9740000000002</v>
      </c>
      <c r="G30" s="2">
        <v>9805.0810000000001</v>
      </c>
      <c r="H30" s="2">
        <v>9982.6659999999993</v>
      </c>
      <c r="I30" s="2">
        <v>10092.93</v>
      </c>
      <c r="J30" s="2">
        <v>10183.152</v>
      </c>
      <c r="K30" s="2">
        <v>10319.225</v>
      </c>
      <c r="L30" s="2">
        <v>10469.374</v>
      </c>
      <c r="M30" s="2">
        <v>10670.013999999999</v>
      </c>
      <c r="N30" s="2">
        <v>10726.522999999999</v>
      </c>
      <c r="O30" s="2">
        <v>10755.172</v>
      </c>
      <c r="P30" s="2">
        <v>10904.323</v>
      </c>
      <c r="Q30" s="2">
        <v>11098.227999999999</v>
      </c>
      <c r="AF30" s="2">
        <v>9473.33</v>
      </c>
      <c r="AG30" s="2">
        <v>10092.93</v>
      </c>
      <c r="AH30" s="2">
        <v>10670.013999999999</v>
      </c>
      <c r="AI30" s="2">
        <v>11098.227999999999</v>
      </c>
    </row>
    <row r="31" spans="1:35" x14ac:dyDescent="0.2">
      <c r="A31" t="s">
        <v>50</v>
      </c>
      <c r="E31" s="2">
        <f>4338.589+1199.87</f>
        <v>5538.4589999999998</v>
      </c>
      <c r="F31" s="2">
        <f>4338.589+1199.84</f>
        <v>5538.4290000000001</v>
      </c>
      <c r="G31" s="2">
        <f>4338.589+1199.81</f>
        <v>5538.3989999999994</v>
      </c>
      <c r="H31" s="2">
        <f>4338.589+1199.78</f>
        <v>5538.3689999999997</v>
      </c>
      <c r="I31" s="2">
        <f>4338.589+1199.75</f>
        <v>5538.3389999999999</v>
      </c>
      <c r="J31" s="2">
        <f>4338.589+1199.72</f>
        <v>5538.3090000000002</v>
      </c>
      <c r="K31" s="2">
        <f t="shared" ref="K31:Q31" si="34">4338.589+1199.7</f>
        <v>5538.2889999999998</v>
      </c>
      <c r="L31" s="2">
        <f t="shared" si="34"/>
        <v>5538.2889999999998</v>
      </c>
      <c r="M31" s="2">
        <f t="shared" si="34"/>
        <v>5538.2889999999998</v>
      </c>
      <c r="N31" s="2">
        <f t="shared" si="34"/>
        <v>5538.2889999999998</v>
      </c>
      <c r="O31" s="2">
        <f t="shared" si="34"/>
        <v>5538.2889999999998</v>
      </c>
      <c r="P31" s="2">
        <f t="shared" si="34"/>
        <v>5538.2889999999998</v>
      </c>
      <c r="Q31" s="2">
        <f t="shared" si="34"/>
        <v>5538.2889999999998</v>
      </c>
      <c r="AF31" s="2">
        <f>4338.589+1199.87</f>
        <v>5538.4589999999998</v>
      </c>
      <c r="AG31" s="2">
        <f>4338.589+1199.75</f>
        <v>5538.3389999999999</v>
      </c>
      <c r="AH31" s="2">
        <f>4338.589+1199.7</f>
        <v>5538.2889999999998</v>
      </c>
      <c r="AI31" s="2">
        <f>4338.589+1199.7</f>
        <v>5538.2889999999998</v>
      </c>
    </row>
    <row r="32" spans="1:35" x14ac:dyDescent="0.2">
      <c r="A32" t="s">
        <v>51</v>
      </c>
      <c r="E32" s="2">
        <v>36.619</v>
      </c>
      <c r="F32" s="2">
        <v>42.38</v>
      </c>
      <c r="G32" s="2">
        <v>47.417000000000002</v>
      </c>
      <c r="H32" s="2">
        <v>44.561999999999998</v>
      </c>
      <c r="I32" s="2">
        <v>46.131999999999998</v>
      </c>
      <c r="J32" s="2">
        <v>46.948999999999998</v>
      </c>
      <c r="K32" s="2">
        <v>50.662999999999997</v>
      </c>
      <c r="L32" s="2">
        <v>55.029000000000003</v>
      </c>
      <c r="M32" s="2">
        <v>57.746000000000002</v>
      </c>
      <c r="N32" s="2">
        <v>63.527000000000001</v>
      </c>
      <c r="O32" s="2">
        <v>63.988</v>
      </c>
      <c r="P32" s="2">
        <v>62.551000000000002</v>
      </c>
      <c r="Q32" s="2">
        <v>60.628</v>
      </c>
      <c r="AF32" s="2">
        <v>36.619</v>
      </c>
      <c r="AG32" s="2">
        <v>46.131999999999998</v>
      </c>
      <c r="AH32" s="2">
        <v>57.746000000000002</v>
      </c>
      <c r="AI32" s="2">
        <v>60.628</v>
      </c>
    </row>
    <row r="33" spans="1:35" s="9" customFormat="1" x14ac:dyDescent="0.2">
      <c r="A33" s="9" t="s">
        <v>52</v>
      </c>
      <c r="B33" s="8"/>
      <c r="C33" s="8"/>
      <c r="D33" s="8"/>
      <c r="E33" s="8">
        <f t="shared" ref="E33:Q33" si="35">SUM(E25:E32)</f>
        <v>25862.624</v>
      </c>
      <c r="F33" s="8">
        <f t="shared" si="35"/>
        <v>25236.698000000004</v>
      </c>
      <c r="G33" s="8">
        <f t="shared" si="35"/>
        <v>25487.807999999997</v>
      </c>
      <c r="H33" s="8">
        <f t="shared" si="35"/>
        <v>25925.302</v>
      </c>
      <c r="I33" s="8">
        <f t="shared" si="35"/>
        <v>26327.371000000003</v>
      </c>
      <c r="J33" s="8">
        <f t="shared" si="35"/>
        <v>26956.308000000005</v>
      </c>
      <c r="K33" s="8">
        <f t="shared" si="35"/>
        <v>28239.256000000001</v>
      </c>
      <c r="L33" s="8">
        <f t="shared" si="35"/>
        <v>29007.157999999999</v>
      </c>
      <c r="M33" s="8">
        <f t="shared" si="35"/>
        <v>29083.267</v>
      </c>
      <c r="N33" s="8">
        <f t="shared" si="35"/>
        <v>29803.932999999997</v>
      </c>
      <c r="O33" s="8">
        <f t="shared" si="35"/>
        <v>30395.557000000001</v>
      </c>
      <c r="P33" s="8">
        <f t="shared" si="35"/>
        <v>30624.626</v>
      </c>
      <c r="Q33" s="8">
        <f t="shared" si="35"/>
        <v>30795.591</v>
      </c>
      <c r="AF33" s="8">
        <f>SUM(AF25:AF32)</f>
        <v>25862.624</v>
      </c>
      <c r="AG33" s="8">
        <f>SUM(AG25:AG32)</f>
        <v>26327.371000000003</v>
      </c>
      <c r="AH33" s="8">
        <f>SUM(AH25:AH32)</f>
        <v>29083.267</v>
      </c>
      <c r="AI33" s="8">
        <f>SUM(AI25:AI32)</f>
        <v>30795.591</v>
      </c>
    </row>
    <row r="34" spans="1:35" x14ac:dyDescent="0.2">
      <c r="A34" t="s">
        <v>7</v>
      </c>
      <c r="E34" s="2">
        <v>4130.9750000000004</v>
      </c>
      <c r="F34" s="2">
        <v>4130.71</v>
      </c>
      <c r="G34" s="2">
        <v>4156.7650000000003</v>
      </c>
      <c r="H34" s="2">
        <v>4127.4260000000004</v>
      </c>
      <c r="I34" s="2">
        <v>4172.0680000000002</v>
      </c>
      <c r="J34" s="2">
        <f>900.635+3947.462</f>
        <v>4848.0969999999998</v>
      </c>
      <c r="K34" s="2">
        <f>900.635+4290.7</f>
        <v>5191.335</v>
      </c>
      <c r="L34" s="2">
        <v>5985.7280000000001</v>
      </c>
      <c r="M34" s="2">
        <v>7009.3990000000003</v>
      </c>
      <c r="N34" s="2">
        <f>250+7028.767</f>
        <v>7278.7669999999998</v>
      </c>
      <c r="O34" s="2">
        <v>7295.2150000000001</v>
      </c>
      <c r="P34" s="2">
        <f>750+6440.845</f>
        <v>7190.8450000000003</v>
      </c>
      <c r="Q34" s="2">
        <f>768.645+6231.539</f>
        <v>7000.1839999999993</v>
      </c>
      <c r="AF34" s="2">
        <v>4130.9750000000004</v>
      </c>
      <c r="AG34" s="2">
        <v>4172.0680000000002</v>
      </c>
      <c r="AH34" s="2">
        <v>7009.3990000000003</v>
      </c>
      <c r="AI34" s="2">
        <f>768.645+6231.539</f>
        <v>7000.1839999999993</v>
      </c>
    </row>
    <row r="35" spans="1:35" x14ac:dyDescent="0.2">
      <c r="A35" t="s">
        <v>49</v>
      </c>
      <c r="E35" s="2">
        <f>1074.079+8385.388</f>
        <v>9459.4670000000006</v>
      </c>
      <c r="F35" s="2">
        <f>1101.369+8499.442</f>
        <v>9600.8109999999997</v>
      </c>
      <c r="G35" s="2">
        <f>1127.841+8661.716</f>
        <v>9789.5570000000007</v>
      </c>
      <c r="H35" s="2">
        <f>1157.245+8808.514</f>
        <v>9965.7589999999982</v>
      </c>
      <c r="I35" s="2">
        <f>1183.559+8890.709</f>
        <v>10074.268</v>
      </c>
      <c r="J35" s="2">
        <f>1205.043+8959.174</f>
        <v>10164.217000000001</v>
      </c>
      <c r="K35" s="2">
        <f>1231.064+9070.328</f>
        <v>10301.392</v>
      </c>
      <c r="L35" s="2">
        <f>1257.06+9195.042</f>
        <v>10452.101999999999</v>
      </c>
      <c r="M35" s="2">
        <f>1288.939+9362.761</f>
        <v>10651.7</v>
      </c>
      <c r="N35" s="2">
        <f>1311.753+9399.833</f>
        <v>10711.586000000001</v>
      </c>
      <c r="O35" s="2">
        <f>1331.433+9409.193</f>
        <v>10740.626</v>
      </c>
      <c r="P35" s="2">
        <f>1355.316+9540.573</f>
        <v>10895.889000000001</v>
      </c>
      <c r="Q35" s="2">
        <f>1387.083+9703.499</f>
        <v>11090.582</v>
      </c>
      <c r="AF35" s="2">
        <f>1074.079+8385.388</f>
        <v>9459.4670000000006</v>
      </c>
      <c r="AG35" s="2">
        <f>1183.559+8890.709</f>
        <v>10074.268</v>
      </c>
      <c r="AH35" s="2">
        <f>1288.939+9362.761</f>
        <v>10651.7</v>
      </c>
      <c r="AI35" s="2">
        <f>1387.083+9703.499</f>
        <v>11090.582</v>
      </c>
    </row>
    <row r="36" spans="1:35" x14ac:dyDescent="0.2">
      <c r="A36" t="s">
        <v>53</v>
      </c>
      <c r="E36" s="2">
        <v>3614.0889999999999</v>
      </c>
      <c r="F36" s="2">
        <v>3294.4229999999998</v>
      </c>
      <c r="G36" s="2">
        <v>3369.9839999999999</v>
      </c>
      <c r="H36" s="2">
        <v>3532.6390000000001</v>
      </c>
      <c r="I36" s="2">
        <v>3738.6039999999998</v>
      </c>
      <c r="J36" s="2">
        <v>3906.8519999999999</v>
      </c>
      <c r="K36" s="2">
        <v>4358.3879999999999</v>
      </c>
      <c r="L36" s="2">
        <v>4127.076</v>
      </c>
      <c r="M36" s="2">
        <v>3552.991</v>
      </c>
      <c r="N36" s="2">
        <v>3679.17</v>
      </c>
      <c r="O36" s="2">
        <v>3681.634</v>
      </c>
      <c r="P36" s="2">
        <v>3651.7779999999998</v>
      </c>
      <c r="Q36" s="2">
        <v>3587.3739999999998</v>
      </c>
      <c r="AF36" s="2">
        <v>3614.0889999999999</v>
      </c>
      <c r="AG36" s="2">
        <v>3738.6039999999998</v>
      </c>
      <c r="AH36" s="2">
        <v>3552.991</v>
      </c>
      <c r="AI36" s="2">
        <v>3587.3739999999998</v>
      </c>
    </row>
    <row r="37" spans="1:35" x14ac:dyDescent="0.2">
      <c r="A37" t="s">
        <v>54</v>
      </c>
      <c r="E37" s="2">
        <v>1006.552</v>
      </c>
      <c r="F37" s="2">
        <v>861.65300000000002</v>
      </c>
      <c r="G37" s="2">
        <v>973.02499999999998</v>
      </c>
      <c r="H37" s="2">
        <v>1039.222</v>
      </c>
      <c r="I37" s="2">
        <v>1049.1389999999999</v>
      </c>
      <c r="J37" s="2">
        <v>930.26</v>
      </c>
      <c r="K37" s="2">
        <v>1069.9259999999999</v>
      </c>
      <c r="L37" s="2">
        <v>1110.5050000000001</v>
      </c>
      <c r="M37" s="2">
        <v>1036.9190000000001</v>
      </c>
      <c r="N37" s="2">
        <v>848.75699999999995</v>
      </c>
      <c r="O37" s="2">
        <v>1013.5940000000001</v>
      </c>
      <c r="P37" s="2">
        <v>1020.759</v>
      </c>
      <c r="Q37" s="2">
        <v>971.89</v>
      </c>
      <c r="AF37" s="2">
        <v>1006.552</v>
      </c>
      <c r="AG37" s="2">
        <v>1049.1389999999999</v>
      </c>
      <c r="AH37" s="2">
        <v>1036.9190000000001</v>
      </c>
      <c r="AI37" s="2">
        <v>971.89</v>
      </c>
    </row>
    <row r="38" spans="1:35" x14ac:dyDescent="0.2">
      <c r="A38" t="s">
        <v>31</v>
      </c>
      <c r="E38" s="2">
        <v>16.062999999999999</v>
      </c>
      <c r="F38" s="2">
        <v>57.953000000000003</v>
      </c>
      <c r="G38" s="2">
        <v>8.234</v>
      </c>
      <c r="H38" s="2">
        <v>11.393000000000001</v>
      </c>
      <c r="I38" s="2">
        <v>8.0549999999999997</v>
      </c>
      <c r="J38" s="2">
        <v>9.0510000000000002</v>
      </c>
      <c r="K38" s="2">
        <v>6.7729999999999997</v>
      </c>
      <c r="L38" s="2">
        <v>8.0060000000000002</v>
      </c>
      <c r="M38" s="2">
        <v>8.9190000000000005</v>
      </c>
      <c r="N38" s="2">
        <v>10.999000000000001</v>
      </c>
      <c r="O38" s="2">
        <v>7.2610000000000001</v>
      </c>
      <c r="P38" s="2">
        <v>9.2370000000000001</v>
      </c>
      <c r="Q38" s="2">
        <v>10.709</v>
      </c>
      <c r="AF38" s="2">
        <v>16.062999999999999</v>
      </c>
      <c r="AG38" s="2">
        <v>8.0549999999999997</v>
      </c>
      <c r="AH38" s="2">
        <v>8.9190000000000005</v>
      </c>
      <c r="AI38" s="2">
        <v>10.709</v>
      </c>
    </row>
    <row r="39" spans="1:35" x14ac:dyDescent="0.2">
      <c r="A39" t="s">
        <v>55</v>
      </c>
      <c r="E39" s="2">
        <v>710.54899999999998</v>
      </c>
      <c r="F39" s="2">
        <v>769.43</v>
      </c>
      <c r="G39" s="2">
        <v>781.47699999999998</v>
      </c>
      <c r="H39" s="2">
        <v>781.23099999999999</v>
      </c>
      <c r="I39" s="2">
        <v>825.25400000000002</v>
      </c>
      <c r="J39" s="2">
        <v>907.02</v>
      </c>
      <c r="K39" s="2">
        <v>906.846</v>
      </c>
      <c r="L39" s="2">
        <v>992.47900000000004</v>
      </c>
      <c r="M39" s="2">
        <v>1060.9059999999999</v>
      </c>
      <c r="N39" s="2">
        <v>1111.434</v>
      </c>
      <c r="O39" s="2">
        <v>1119.114</v>
      </c>
      <c r="P39" s="2">
        <v>1152.125</v>
      </c>
      <c r="Q39" s="2">
        <v>1133.7840000000001</v>
      </c>
      <c r="AF39" s="2">
        <v>710.54899999999998</v>
      </c>
      <c r="AG39" s="2">
        <v>825.25400000000002</v>
      </c>
      <c r="AH39" s="2">
        <v>1060.9059999999999</v>
      </c>
      <c r="AI39" s="2">
        <v>1133.7840000000001</v>
      </c>
    </row>
    <row r="40" spans="1:35" x14ac:dyDescent="0.2">
      <c r="A40" t="s">
        <v>51</v>
      </c>
      <c r="E40" s="2">
        <v>263.69099999999997</v>
      </c>
      <c r="F40" s="2">
        <v>271.79300000000001</v>
      </c>
      <c r="G40" s="2">
        <v>271.63099999999997</v>
      </c>
      <c r="H40" s="2">
        <v>277.83100000000002</v>
      </c>
      <c r="I40" s="2">
        <v>197.99700000000001</v>
      </c>
      <c r="J40" s="2">
        <v>229.18700000000001</v>
      </c>
      <c r="K40" s="2">
        <v>216.10499999999999</v>
      </c>
      <c r="L40" s="2">
        <v>237.45599999999999</v>
      </c>
      <c r="M40" s="2">
        <v>220.761</v>
      </c>
      <c r="N40" s="2">
        <v>227.96899999999999</v>
      </c>
      <c r="O40" s="2">
        <v>240.40799999999999</v>
      </c>
      <c r="P40" s="2">
        <v>252.10900000000001</v>
      </c>
      <c r="Q40" s="2">
        <v>251.94900000000001</v>
      </c>
      <c r="AF40" s="2">
        <v>263.69099999999997</v>
      </c>
      <c r="AG40" s="2">
        <v>197.99700000000001</v>
      </c>
      <c r="AH40" s="2">
        <v>220.761</v>
      </c>
      <c r="AI40" s="2">
        <v>251.94900000000001</v>
      </c>
    </row>
    <row r="41" spans="1:35" s="9" customFormat="1" x14ac:dyDescent="0.2">
      <c r="A41" s="9" t="s">
        <v>56</v>
      </c>
      <c r="B41" s="8"/>
      <c r="C41" s="8"/>
      <c r="D41" s="8"/>
      <c r="E41" s="8">
        <f t="shared" ref="E41:Q41" si="36">SUM(E34:E40)</f>
        <v>19201.385999999999</v>
      </c>
      <c r="F41" s="8">
        <f t="shared" si="36"/>
        <v>18986.773000000001</v>
      </c>
      <c r="G41" s="8">
        <f t="shared" si="36"/>
        <v>19350.673000000003</v>
      </c>
      <c r="H41" s="8">
        <f t="shared" si="36"/>
        <v>19735.500999999997</v>
      </c>
      <c r="I41" s="8">
        <f t="shared" si="36"/>
        <v>20065.384999999998</v>
      </c>
      <c r="J41" s="8">
        <f t="shared" si="36"/>
        <v>20994.684000000001</v>
      </c>
      <c r="K41" s="8">
        <f t="shared" si="36"/>
        <v>22050.764999999999</v>
      </c>
      <c r="L41" s="8">
        <f t="shared" si="36"/>
        <v>22913.351999999999</v>
      </c>
      <c r="M41" s="8">
        <f t="shared" si="36"/>
        <v>23541.595000000005</v>
      </c>
      <c r="N41" s="8">
        <f t="shared" si="36"/>
        <v>23868.682000000004</v>
      </c>
      <c r="O41" s="8">
        <f t="shared" si="36"/>
        <v>24097.851999999999</v>
      </c>
      <c r="P41" s="8">
        <f t="shared" si="36"/>
        <v>24172.742000000002</v>
      </c>
      <c r="Q41" s="8">
        <f t="shared" si="36"/>
        <v>24046.471999999998</v>
      </c>
      <c r="AF41" s="8">
        <f>SUM(AF34:AF40)</f>
        <v>19201.385999999999</v>
      </c>
      <c r="AG41" s="8">
        <f>SUM(AG34:AG40)</f>
        <v>20065.384999999998</v>
      </c>
      <c r="AH41" s="8">
        <f>SUM(AH34:AH40)</f>
        <v>23541.595000000005</v>
      </c>
      <c r="AI41" s="8">
        <f>SUM(AI34:AI40)</f>
        <v>24046.471999999998</v>
      </c>
    </row>
    <row r="42" spans="1:35" x14ac:dyDescent="0.2">
      <c r="A42" t="s">
        <v>57</v>
      </c>
      <c r="E42" s="2">
        <f t="shared" ref="E42:Q42" si="37">+E33-E41</f>
        <v>6661.2380000000012</v>
      </c>
      <c r="F42" s="2">
        <f t="shared" si="37"/>
        <v>6249.9250000000029</v>
      </c>
      <c r="G42" s="2">
        <f t="shared" si="37"/>
        <v>6137.1349999999948</v>
      </c>
      <c r="H42" s="2">
        <f t="shared" si="37"/>
        <v>6189.8010000000031</v>
      </c>
      <c r="I42" s="2">
        <f t="shared" si="37"/>
        <v>6261.9860000000044</v>
      </c>
      <c r="J42" s="2">
        <f t="shared" si="37"/>
        <v>5961.6240000000034</v>
      </c>
      <c r="K42" s="2">
        <f t="shared" si="37"/>
        <v>6188.4910000000018</v>
      </c>
      <c r="L42" s="2">
        <f t="shared" si="37"/>
        <v>6093.8060000000005</v>
      </c>
      <c r="M42" s="2">
        <f t="shared" si="37"/>
        <v>5541.671999999995</v>
      </c>
      <c r="N42" s="2">
        <f t="shared" si="37"/>
        <v>5935.2509999999929</v>
      </c>
      <c r="O42" s="2">
        <f t="shared" si="37"/>
        <v>6297.7050000000017</v>
      </c>
      <c r="P42" s="2">
        <f t="shared" si="37"/>
        <v>6451.8839999999982</v>
      </c>
      <c r="Q42" s="2">
        <f t="shared" si="37"/>
        <v>6749.1190000000024</v>
      </c>
      <c r="AF42" s="2">
        <f>+AF33-AF41</f>
        <v>6661.2380000000012</v>
      </c>
      <c r="AG42" s="2">
        <f>+AG33-AG41</f>
        <v>6261.9860000000044</v>
      </c>
      <c r="AH42" s="2">
        <f>+AH33-AH41</f>
        <v>5541.671999999995</v>
      </c>
      <c r="AI42" s="2">
        <f>+AI33-AI41</f>
        <v>6749.1190000000024</v>
      </c>
    </row>
    <row r="43" spans="1:35" x14ac:dyDescent="0.2">
      <c r="A43" t="s">
        <v>58</v>
      </c>
      <c r="E43" s="2">
        <f t="shared" ref="E43:Q43" si="38">+E42+E41</f>
        <v>25862.624</v>
      </c>
      <c r="F43" s="2">
        <f t="shared" si="38"/>
        <v>25236.698000000004</v>
      </c>
      <c r="G43" s="2">
        <f t="shared" si="38"/>
        <v>25487.807999999997</v>
      </c>
      <c r="H43" s="2">
        <f t="shared" si="38"/>
        <v>25925.302</v>
      </c>
      <c r="I43" s="2">
        <f t="shared" si="38"/>
        <v>26327.371000000003</v>
      </c>
      <c r="J43" s="2">
        <f t="shared" si="38"/>
        <v>26956.308000000005</v>
      </c>
      <c r="K43" s="2">
        <f t="shared" si="38"/>
        <v>28239.256000000001</v>
      </c>
      <c r="L43" s="2">
        <f t="shared" si="38"/>
        <v>29007.157999999999</v>
      </c>
      <c r="M43" s="2">
        <f t="shared" si="38"/>
        <v>29083.267</v>
      </c>
      <c r="N43" s="2">
        <f t="shared" si="38"/>
        <v>29803.932999999997</v>
      </c>
      <c r="O43" s="2">
        <f t="shared" si="38"/>
        <v>30395.557000000001</v>
      </c>
      <c r="P43" s="2">
        <f t="shared" si="38"/>
        <v>30624.626</v>
      </c>
      <c r="Q43" s="2">
        <f t="shared" si="38"/>
        <v>30795.591</v>
      </c>
      <c r="AF43" s="2">
        <f>+AF42+AF41</f>
        <v>25862.624</v>
      </c>
      <c r="AG43" s="2">
        <f>+AG42+AG41</f>
        <v>26327.371000000003</v>
      </c>
      <c r="AH43" s="2">
        <f>+AH42+AH41</f>
        <v>29083.267</v>
      </c>
      <c r="AI43" s="2">
        <f>+AI42+AI41</f>
        <v>30795.591</v>
      </c>
    </row>
    <row r="45" spans="1:35" x14ac:dyDescent="0.2">
      <c r="A45" t="s">
        <v>59</v>
      </c>
      <c r="N45" s="2">
        <f>+N12</f>
        <v>514.38000000000011</v>
      </c>
      <c r="O45" s="2">
        <f>+O12</f>
        <v>468.83500000000078</v>
      </c>
      <c r="P45" s="2">
        <f>+P12</f>
        <v>276.24600000000021</v>
      </c>
      <c r="Q45" s="2">
        <f>+Q12</f>
        <v>401.81299999999953</v>
      </c>
    </row>
    <row r="46" spans="1:35" x14ac:dyDescent="0.2">
      <c r="A46" t="s">
        <v>60</v>
      </c>
      <c r="N46" s="2">
        <v>514.38</v>
      </c>
      <c r="O46" s="2">
        <f>983.215-SUM(N46)</f>
        <v>468.83500000000004</v>
      </c>
      <c r="P46" s="2">
        <f>1259.461-SUM(N46:O46)</f>
        <v>276.24599999999998</v>
      </c>
      <c r="Q46" s="2">
        <f>1661.274-SUM(N46:P46)</f>
        <v>401.81299999999987</v>
      </c>
    </row>
    <row r="47" spans="1:35" x14ac:dyDescent="0.2">
      <c r="A47" t="s">
        <v>61</v>
      </c>
      <c r="N47" s="2">
        <v>201.90700000000001</v>
      </c>
      <c r="O47" s="2">
        <f>410.287-SUM(N47)</f>
        <v>208.37999999999997</v>
      </c>
      <c r="P47" s="2">
        <f>625.817-SUM(N47:O47)</f>
        <v>215.53000000000003</v>
      </c>
      <c r="Q47" s="2">
        <f>848.793-SUM(N47:P47)</f>
        <v>222.976</v>
      </c>
    </row>
    <row r="48" spans="1:35" x14ac:dyDescent="0.2">
      <c r="A48" t="s">
        <v>55</v>
      </c>
      <c r="N48" s="2">
        <v>50.442</v>
      </c>
      <c r="O48" s="2">
        <f>58.147-SUM(N48)</f>
        <v>7.7049999999999983</v>
      </c>
      <c r="P48" s="2">
        <f>91.158-SUM(N48:O48)</f>
        <v>33.011000000000003</v>
      </c>
      <c r="Q48" s="2">
        <f ca="1">72.847-SUM(N48:Q48)</f>
        <v>0</v>
      </c>
    </row>
    <row r="49" spans="1:18" x14ac:dyDescent="0.2">
      <c r="A49" t="s">
        <v>62</v>
      </c>
      <c r="N49" s="2">
        <v>25.082999999999998</v>
      </c>
      <c r="O49" s="2">
        <f>33.893-SUM(N49)</f>
        <v>8.8100000000000023</v>
      </c>
      <c r="P49" s="2">
        <f>40.704-SUM(N49:O49)</f>
        <v>6.8109999999999999</v>
      </c>
      <c r="Q49" s="2">
        <f>51.891-SUM(N49:P49)</f>
        <v>11.186999999999998</v>
      </c>
    </row>
    <row r="50" spans="1:18" x14ac:dyDescent="0.2">
      <c r="A50" t="s">
        <v>65</v>
      </c>
      <c r="N50" s="2">
        <v>28.63</v>
      </c>
      <c r="O50" s="2">
        <f>57.367-SUM(N50)</f>
        <v>28.736999999999998</v>
      </c>
      <c r="P50" s="2">
        <f>79.001-SUM(N50:O50)</f>
        <v>21.634000000000007</v>
      </c>
      <c r="Q50" s="2">
        <f>88.982-SUM(N50:P50)</f>
        <v>9.9809999999999945</v>
      </c>
    </row>
    <row r="51" spans="1:18" x14ac:dyDescent="0.2">
      <c r="A51" t="s">
        <v>63</v>
      </c>
      <c r="N51" s="2">
        <f>+-601.138-56.866+116.363-176.804+86.992+2.126</f>
        <v>-629.32700000000011</v>
      </c>
      <c r="O51" s="2">
        <f>-817.001-78.358+107.81-12.438-17.613+1.412-SUM(N51)</f>
        <v>-186.86099999999976</v>
      </c>
      <c r="P51" s="2">
        <f>-661.611-50.846+108.757+3.802-61.462+7.238-SUM(N51:O51)</f>
        <v>162.06599999999992</v>
      </c>
      <c r="Q51" s="2">
        <f>-299.066-63.576+36.94-39.189+25.303+7.599-SUM(N51:P51)</f>
        <v>322.13299999999992</v>
      </c>
    </row>
    <row r="52" spans="1:18" s="9" customFormat="1" x14ac:dyDescent="0.2">
      <c r="A52" s="9" t="s">
        <v>64</v>
      </c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>
        <f>SUM(N46:N51)</f>
        <v>191.1149999999999</v>
      </c>
      <c r="O52" s="8">
        <f>SUM(O46:O51)</f>
        <v>535.60600000000022</v>
      </c>
      <c r="P52" s="8">
        <f>SUM(P46:P51)</f>
        <v>715.298</v>
      </c>
      <c r="Q52" s="8">
        <f ca="1">SUM(Q46:Q51)</f>
        <v>968.0899999999998</v>
      </c>
      <c r="R52" s="8"/>
    </row>
    <row r="54" spans="1:18" x14ac:dyDescent="0.2">
      <c r="A54" t="s">
        <v>66</v>
      </c>
      <c r="N54" s="2">
        <v>-363.14100000000002</v>
      </c>
      <c r="O54" s="2">
        <f>-767.935-SUM(N54)</f>
        <v>-404.79399999999993</v>
      </c>
      <c r="P54" s="2">
        <f>-1240.507-SUM(N54:O54)</f>
        <v>-472.57200000000012</v>
      </c>
      <c r="Q54" s="2">
        <f>-1700.222-SUM(N54:P54)</f>
        <v>-459.71499999999992</v>
      </c>
    </row>
    <row r="55" spans="1:18" x14ac:dyDescent="0.2">
      <c r="A55" t="s">
        <v>67</v>
      </c>
      <c r="N55" s="2">
        <v>1.5389999999999999</v>
      </c>
      <c r="O55" s="2">
        <f>3.234-SUM(N55)</f>
        <v>1.6950000000000001</v>
      </c>
      <c r="P55" s="2">
        <f>4.963-SUM(N55:O55)</f>
        <v>1.7290000000000001</v>
      </c>
      <c r="Q55" s="2">
        <f>6.199-SUM(N55:P55)</f>
        <v>1.2359999999999998</v>
      </c>
    </row>
    <row r="56" spans="1:18" s="9" customFormat="1" x14ac:dyDescent="0.2">
      <c r="A56" s="9" t="s">
        <v>68</v>
      </c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>
        <f>SUM(N54:N55)</f>
        <v>-361.60200000000003</v>
      </c>
      <c r="O56" s="8">
        <f>SUM(O54:O55)</f>
        <v>-403.09899999999993</v>
      </c>
      <c r="P56" s="8">
        <f>SUM(P54:P55)</f>
        <v>-470.84300000000013</v>
      </c>
      <c r="Q56" s="8">
        <f>SUM(Q54:Q55)</f>
        <v>-458.47899999999993</v>
      </c>
    </row>
    <row r="58" spans="1:18" x14ac:dyDescent="0.2">
      <c r="A58" t="s">
        <v>69</v>
      </c>
      <c r="N58" s="2">
        <v>0</v>
      </c>
      <c r="O58" s="2">
        <f>1498.26-SUM(N58)</f>
        <v>1498.26</v>
      </c>
      <c r="P58" s="2">
        <f>1498.26-SUM(N58:O58)</f>
        <v>0</v>
      </c>
      <c r="Q58" s="2">
        <f>1498.26-SUM(N58:P58)</f>
        <v>0</v>
      </c>
    </row>
    <row r="59" spans="1:18" x14ac:dyDescent="0.2">
      <c r="A59" t="s">
        <v>70</v>
      </c>
      <c r="N59" s="2">
        <v>-4.5049999999999999</v>
      </c>
      <c r="O59" s="2">
        <f>-8.843-SUM(N59)</f>
        <v>-4.3380000000000001</v>
      </c>
      <c r="P59" s="2">
        <f>-14.362-SUM(N59:O59)</f>
        <v>-5.5190000000000001</v>
      </c>
      <c r="Q59" s="2">
        <f>-19.723-SUM(N59:P59)</f>
        <v>-5.3609999999999989</v>
      </c>
    </row>
    <row r="60" spans="1:18" x14ac:dyDescent="0.2">
      <c r="A60" t="s">
        <v>71</v>
      </c>
      <c r="N60" s="2">
        <v>3.0680000000000001</v>
      </c>
      <c r="O60" s="2">
        <f>-1205.4-SUM(N60)</f>
        <v>-1208.4680000000001</v>
      </c>
      <c r="P60" s="2">
        <f>-1303.8-SUM(N60:O60)</f>
        <v>-98.399999999999864</v>
      </c>
      <c r="Q60" s="2">
        <f>-1501.9-SUM(N60:P60)</f>
        <v>-198.10000000000014</v>
      </c>
    </row>
    <row r="61" spans="1:18" x14ac:dyDescent="0.2">
      <c r="A61" t="s">
        <v>72</v>
      </c>
      <c r="N61" s="2">
        <v>500</v>
      </c>
      <c r="O61" s="2">
        <f>500-SUM(N61)</f>
        <v>0</v>
      </c>
      <c r="P61" s="2">
        <f>500-SUM(N61:O61)</f>
        <v>0</v>
      </c>
      <c r="Q61" s="2">
        <f>500-SUM(N61:P61)</f>
        <v>0</v>
      </c>
    </row>
    <row r="62" spans="1:18" x14ac:dyDescent="0.2">
      <c r="A62" t="s">
        <v>73</v>
      </c>
      <c r="N62" s="2">
        <v>-250</v>
      </c>
      <c r="O62" s="2">
        <f>-500-SUM(N62)</f>
        <v>-250</v>
      </c>
      <c r="P62" s="2">
        <f>-500-SUM(N62:O62)</f>
        <v>0</v>
      </c>
      <c r="Q62" s="2">
        <f>-500-SUM(N62:P62)</f>
        <v>0</v>
      </c>
    </row>
    <row r="63" spans="1:18" x14ac:dyDescent="0.2">
      <c r="A63" t="s">
        <v>74</v>
      </c>
      <c r="N63" s="2">
        <v>0</v>
      </c>
      <c r="O63" s="2">
        <f>-12.4488-SUM(N63)</f>
        <v>-12.4488</v>
      </c>
      <c r="P63" s="2">
        <f>-12.438-SUM(N63:O63)</f>
        <v>1.0799999999999699E-2</v>
      </c>
      <c r="Q63" s="2">
        <f>-12.438-SUM(N63:P63)</f>
        <v>0</v>
      </c>
    </row>
    <row r="64" spans="1:18" x14ac:dyDescent="0.2">
      <c r="A64" t="s">
        <v>75</v>
      </c>
      <c r="N64" s="2">
        <v>0</v>
      </c>
      <c r="O64" s="2">
        <v>0</v>
      </c>
      <c r="P64" s="2">
        <v>0</v>
      </c>
      <c r="Q64" s="2">
        <v>0</v>
      </c>
    </row>
    <row r="65" spans="1:17" x14ac:dyDescent="0.2">
      <c r="A65" t="s">
        <v>76</v>
      </c>
      <c r="N65" s="2">
        <v>-129.40100000000001</v>
      </c>
      <c r="O65" s="2">
        <f>-258.885-SUM(N65)</f>
        <v>-129.48399999999998</v>
      </c>
      <c r="P65" s="2">
        <f>-388.381-SUM(N65:O65)</f>
        <v>-129.49599999999998</v>
      </c>
      <c r="Q65" s="2">
        <f>-517.979-SUM(N65:P65)</f>
        <v>-129.59800000000007</v>
      </c>
    </row>
    <row r="66" spans="1:17" x14ac:dyDescent="0.2">
      <c r="A66" t="s">
        <v>51</v>
      </c>
      <c r="N66" s="2">
        <v>-17.187000000000001</v>
      </c>
      <c r="O66" s="2">
        <f>-3.262-SUM(N66)</f>
        <v>13.925000000000001</v>
      </c>
      <c r="P66" s="2">
        <f>-1.883-SUM(N66:O66)</f>
        <v>1.3790000000000004</v>
      </c>
      <c r="Q66" s="2">
        <f>11.712-SUM(N66:P66)</f>
        <v>13.594999999999999</v>
      </c>
    </row>
    <row r="67" spans="1:17" s="9" customFormat="1" x14ac:dyDescent="0.2">
      <c r="A67" s="9" t="s">
        <v>77</v>
      </c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>
        <f>SUM(N58:N66)</f>
        <v>101.97499999999998</v>
      </c>
      <c r="O67" s="8">
        <f>SUM(O58:O66)</f>
        <v>-92.553800000000038</v>
      </c>
      <c r="P67" s="8">
        <f>SUM(P58:P66)</f>
        <v>-232.02519999999984</v>
      </c>
      <c r="Q67" s="8">
        <f>SUM(Q58:Q66)</f>
        <v>-319.46400000000017</v>
      </c>
    </row>
    <row r="69" spans="1:17" x14ac:dyDescent="0.2">
      <c r="A69" t="s">
        <v>78</v>
      </c>
      <c r="N69" s="2">
        <f>+N52+N56+N67</f>
        <v>-68.512000000000157</v>
      </c>
      <c r="O69" s="2">
        <f>+O52+O56+O67</f>
        <v>39.953200000000251</v>
      </c>
      <c r="P69" s="2">
        <f>+P52+P56+P67</f>
        <v>12.429800000000029</v>
      </c>
      <c r="Q69" s="2">
        <f ca="1">+Q52+Q56+Q67</f>
        <v>190.14699999999971</v>
      </c>
    </row>
    <row r="70" spans="1:17" x14ac:dyDescent="0.2">
      <c r="A70" t="s">
        <v>79</v>
      </c>
      <c r="N70" s="2">
        <v>313.06400000000002</v>
      </c>
      <c r="O70" s="2">
        <f>+N70+O69</f>
        <v>353.01720000000029</v>
      </c>
      <c r="P70" s="2">
        <f>+O70+P69</f>
        <v>365.44700000000034</v>
      </c>
      <c r="Q70" s="2">
        <f ca="1">+SUM(P70+Q69)</f>
        <v>555.59400000000005</v>
      </c>
    </row>
    <row r="72" spans="1:17" x14ac:dyDescent="0.2">
      <c r="A72" t="s">
        <v>80</v>
      </c>
      <c r="N72" s="2">
        <f>+N52+N54</f>
        <v>-172.02600000000012</v>
      </c>
      <c r="O72" s="2">
        <f>+O52+O54</f>
        <v>130.8120000000003</v>
      </c>
      <c r="P72" s="2">
        <f>+P52+P54</f>
        <v>242.72599999999989</v>
      </c>
      <c r="Q72" s="2">
        <f ca="1">+Q52+Q54</f>
        <v>508.37499999999989</v>
      </c>
    </row>
    <row r="73" spans="1:17" x14ac:dyDescent="0.2">
      <c r="A73" t="s">
        <v>81</v>
      </c>
      <c r="N73" s="2">
        <f>+N52+N54-N49</f>
        <v>-197.10900000000012</v>
      </c>
      <c r="O73" s="2">
        <f>+O52+O54-O49</f>
        <v>122.00200000000029</v>
      </c>
      <c r="P73" s="2">
        <f>+P52+P54-P49</f>
        <v>235.91499999999988</v>
      </c>
      <c r="Q73" s="2">
        <f ca="1">+Q52+Q54-Q49</f>
        <v>497.18799999999987</v>
      </c>
    </row>
    <row r="74" spans="1:17" x14ac:dyDescent="0.2">
      <c r="A74" t="s">
        <v>82</v>
      </c>
      <c r="N74" s="2">
        <f>+N52+N54-N49+N64</f>
        <v>-197.10900000000012</v>
      </c>
      <c r="O74" s="2">
        <f>+O52+O54-O49+O64</f>
        <v>122.00200000000029</v>
      </c>
      <c r="P74" s="2">
        <f>+P52+P54-P49+P64</f>
        <v>235.91499999999988</v>
      </c>
      <c r="Q74" s="2">
        <f ca="1">+Q52+Q54-Q49+Q64</f>
        <v>497.18799999999987</v>
      </c>
    </row>
    <row r="75" spans="1:17" x14ac:dyDescent="0.2">
      <c r="A75" t="s">
        <v>83</v>
      </c>
      <c r="N75" s="2">
        <f>+N52+N54-N49+N64+N65</f>
        <v>-326.5100000000001</v>
      </c>
      <c r="O75" s="2">
        <f>+O52+O54-O49+O64+O65</f>
        <v>-7.4819999999996867</v>
      </c>
      <c r="P75" s="2">
        <f>+P52+P54-P49+P64+P65</f>
        <v>106.4189999999999</v>
      </c>
      <c r="Q75" s="2">
        <f ca="1">+Q52+Q54-Q49+Q64+Q65</f>
        <v>367.5899999999998</v>
      </c>
    </row>
  </sheetData>
  <pageMargins left="0.7" right="0.7" top="0.75" bottom="0.75" header="0.3" footer="0.3"/>
  <pageSetup paperSize="9" orientation="portrait" r:id="rId1"/>
  <ignoredErrors>
    <ignoredError sqref="L9 W9:Y9 AC9:AI9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Hesselberth</dc:creator>
  <cp:lastModifiedBy>Dennis Hesselberth</cp:lastModifiedBy>
  <dcterms:created xsi:type="dcterms:W3CDTF">2024-04-11T15:33:11Z</dcterms:created>
  <dcterms:modified xsi:type="dcterms:W3CDTF">2024-04-13T11:59:02Z</dcterms:modified>
</cp:coreProperties>
</file>