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Homebuilders\"/>
    </mc:Choice>
  </mc:AlternateContent>
  <xr:revisionPtr revIDLastSave="0" documentId="13_ncr:1_{A877E798-3803-4059-BAAC-44B43FB3FDC4}" xr6:coauthVersionLast="47" xr6:coauthVersionMax="47" xr10:uidLastSave="{00000000-0000-0000-0000-000000000000}"/>
  <bookViews>
    <workbookView xWindow="-15" yWindow="0" windowWidth="14400" windowHeight="15600" activeTab="1" xr2:uid="{ABD551B5-8AF1-4437-8FD2-EDF1DB1491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2" l="1"/>
  <c r="P44" i="2"/>
  <c r="P43" i="2"/>
  <c r="P42" i="2"/>
  <c r="P41" i="2"/>
  <c r="P40" i="2"/>
  <c r="O71" i="2"/>
  <c r="O70" i="2"/>
  <c r="O68" i="2"/>
  <c r="O67" i="2"/>
  <c r="O65" i="2"/>
  <c r="O64" i="2"/>
  <c r="O63" i="2"/>
  <c r="O62" i="2"/>
  <c r="O61" i="2"/>
  <c r="O60" i="2"/>
  <c r="O57" i="2"/>
  <c r="O56" i="2"/>
  <c r="O55" i="2"/>
  <c r="O54" i="2"/>
  <c r="O58" i="2" s="1"/>
  <c r="O51" i="2"/>
  <c r="O50" i="2"/>
  <c r="O49" i="2"/>
  <c r="O48" i="2"/>
  <c r="O47" i="2"/>
  <c r="O46" i="2"/>
  <c r="O45" i="2"/>
  <c r="O44" i="2"/>
  <c r="O43" i="2"/>
  <c r="O42" i="2"/>
  <c r="O41" i="2"/>
  <c r="O52" i="2" s="1"/>
  <c r="N68" i="2"/>
  <c r="N60" i="2"/>
  <c r="N58" i="2"/>
  <c r="N52" i="2"/>
  <c r="N71" i="2" s="1"/>
  <c r="P21" i="2"/>
  <c r="P32" i="2" s="1"/>
  <c r="P36" i="2"/>
  <c r="P38" i="2" s="1"/>
  <c r="O21" i="2"/>
  <c r="O36" i="2"/>
  <c r="O38" i="2" s="1"/>
  <c r="O32" i="2"/>
  <c r="N21" i="2"/>
  <c r="N32" i="2" s="1"/>
  <c r="N36" i="2"/>
  <c r="N38" i="2" s="1"/>
  <c r="M21" i="2"/>
  <c r="M20" i="2" s="1"/>
  <c r="M36" i="2"/>
  <c r="M38" i="2" s="1"/>
  <c r="M32" i="2"/>
  <c r="Q20" i="2"/>
  <c r="Q36" i="2"/>
  <c r="Q38" i="2" s="1"/>
  <c r="Q21" i="2"/>
  <c r="Q32" i="2" s="1"/>
  <c r="E8" i="2"/>
  <c r="E6" i="2"/>
  <c r="E4" i="2"/>
  <c r="AA18" i="2"/>
  <c r="Z18" i="2"/>
  <c r="Z5" i="2"/>
  <c r="Z7" i="2" s="1"/>
  <c r="I3" i="2"/>
  <c r="M18" i="2" s="1"/>
  <c r="E3" i="2"/>
  <c r="E5" i="2" s="1"/>
  <c r="I8" i="2"/>
  <c r="I6" i="2"/>
  <c r="I4" i="2"/>
  <c r="B5" i="2"/>
  <c r="B7" i="2" s="1"/>
  <c r="F18" i="2"/>
  <c r="F5" i="2"/>
  <c r="F13" i="2" s="1"/>
  <c r="C5" i="2"/>
  <c r="C7" i="2" s="1"/>
  <c r="G18" i="2"/>
  <c r="G5" i="2"/>
  <c r="G13" i="2" s="1"/>
  <c r="D5" i="2"/>
  <c r="D7" i="2" s="1"/>
  <c r="H18" i="2"/>
  <c r="H5" i="2"/>
  <c r="H13" i="2" s="1"/>
  <c r="M8" i="2"/>
  <c r="M6" i="2"/>
  <c r="M4" i="2"/>
  <c r="Q8" i="2"/>
  <c r="Q6" i="2"/>
  <c r="Q4" i="2"/>
  <c r="M3" i="2"/>
  <c r="M5" i="2" s="1"/>
  <c r="Q3" i="2"/>
  <c r="Q5" i="2" s="1"/>
  <c r="L18" i="2"/>
  <c r="L5" i="2"/>
  <c r="L13" i="2" s="1"/>
  <c r="P18" i="2"/>
  <c r="P5" i="2"/>
  <c r="P7" i="2" s="1"/>
  <c r="K18" i="2"/>
  <c r="K5" i="2"/>
  <c r="K7" i="2" s="1"/>
  <c r="O18" i="2"/>
  <c r="O5" i="2"/>
  <c r="O13" i="2" s="1"/>
  <c r="J18" i="2"/>
  <c r="N18" i="2"/>
  <c r="J5" i="2"/>
  <c r="J7" i="2" s="1"/>
  <c r="N5" i="2"/>
  <c r="N13" i="2" s="1"/>
  <c r="AA5" i="2"/>
  <c r="AA7" i="2" s="1"/>
  <c r="AB18" i="2"/>
  <c r="AB5" i="2"/>
  <c r="AB13" i="2" s="1"/>
  <c r="AC18" i="2"/>
  <c r="AC5" i="2"/>
  <c r="AC13" i="2" s="1"/>
  <c r="E13" i="2" l="1"/>
  <c r="E7" i="2"/>
  <c r="Q7" i="2"/>
  <c r="Q13" i="2"/>
  <c r="Q16" i="2"/>
  <c r="M13" i="2"/>
  <c r="M7" i="2"/>
  <c r="I5" i="2"/>
  <c r="Q18" i="2"/>
  <c r="N20" i="2"/>
  <c r="N70" i="2"/>
  <c r="M16" i="2"/>
  <c r="P20" i="2"/>
  <c r="O20" i="2"/>
  <c r="Z9" i="2"/>
  <c r="Z16" i="2"/>
  <c r="Z14" i="2"/>
  <c r="Z13" i="2"/>
  <c r="I18" i="2"/>
  <c r="B16" i="2"/>
  <c r="B14" i="2"/>
  <c r="B9" i="2"/>
  <c r="B13" i="2"/>
  <c r="F7" i="2"/>
  <c r="C16" i="2"/>
  <c r="C14" i="2"/>
  <c r="C9" i="2"/>
  <c r="C13" i="2"/>
  <c r="G7" i="2"/>
  <c r="D16" i="2"/>
  <c r="D14" i="2"/>
  <c r="D9" i="2"/>
  <c r="D13" i="2"/>
  <c r="H7" i="2"/>
  <c r="H16" i="2" s="1"/>
  <c r="L7" i="2"/>
  <c r="P13" i="2"/>
  <c r="P16" i="2"/>
  <c r="P14" i="2"/>
  <c r="P9" i="2"/>
  <c r="K9" i="2"/>
  <c r="K16" i="2"/>
  <c r="K14" i="2"/>
  <c r="K13" i="2"/>
  <c r="O7" i="2"/>
  <c r="O16" i="2" s="1"/>
  <c r="J16" i="2"/>
  <c r="J9" i="2"/>
  <c r="J14" i="2"/>
  <c r="J13" i="2"/>
  <c r="N7" i="2"/>
  <c r="AA16" i="2"/>
  <c r="AA9" i="2"/>
  <c r="AA14" i="2"/>
  <c r="AA13" i="2"/>
  <c r="AB7" i="2"/>
  <c r="AB9" i="2" s="1"/>
  <c r="AB15" i="2" s="1"/>
  <c r="AC7" i="2"/>
  <c r="M5" i="1"/>
  <c r="M8" i="1" s="1"/>
  <c r="M10" i="1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I13" i="2" l="1"/>
  <c r="I7" i="2"/>
  <c r="Q9" i="2"/>
  <c r="Q14" i="2"/>
  <c r="M14" i="2"/>
  <c r="M9" i="2"/>
  <c r="E9" i="2"/>
  <c r="E14" i="2"/>
  <c r="E16" i="2"/>
  <c r="Z15" i="2"/>
  <c r="Z10" i="2"/>
  <c r="B15" i="2"/>
  <c r="B10" i="2"/>
  <c r="F14" i="2"/>
  <c r="F16" i="2"/>
  <c r="F9" i="2"/>
  <c r="C15" i="2"/>
  <c r="C10" i="2"/>
  <c r="G14" i="2"/>
  <c r="G16" i="2"/>
  <c r="G9" i="2"/>
  <c r="D15" i="2"/>
  <c r="D10" i="2"/>
  <c r="H14" i="2"/>
  <c r="H9" i="2"/>
  <c r="H10" i="2" s="1"/>
  <c r="L16" i="2"/>
  <c r="L14" i="2"/>
  <c r="L9" i="2"/>
  <c r="P15" i="2"/>
  <c r="P10" i="2"/>
  <c r="K15" i="2"/>
  <c r="K10" i="2"/>
  <c r="O14" i="2"/>
  <c r="O9" i="2"/>
  <c r="O40" i="2" s="1"/>
  <c r="O15" i="2"/>
  <c r="J15" i="2"/>
  <c r="J10" i="2"/>
  <c r="N16" i="2"/>
  <c r="N14" i="2"/>
  <c r="N9" i="2"/>
  <c r="N40" i="2" s="1"/>
  <c r="AA15" i="2"/>
  <c r="AA10" i="2"/>
  <c r="AB16" i="2"/>
  <c r="AB14" i="2"/>
  <c r="AB10" i="2"/>
  <c r="AC16" i="2"/>
  <c r="AC14" i="2"/>
  <c r="AC9" i="2"/>
  <c r="E15" i="2" l="1"/>
  <c r="E10" i="2"/>
  <c r="H15" i="2"/>
  <c r="Q15" i="2"/>
  <c r="Q10" i="2"/>
  <c r="M15" i="2"/>
  <c r="M10" i="2"/>
  <c r="O10" i="2"/>
  <c r="I16" i="2"/>
  <c r="I14" i="2"/>
  <c r="I9" i="2"/>
  <c r="F15" i="2"/>
  <c r="F10" i="2"/>
  <c r="G15" i="2"/>
  <c r="G10" i="2"/>
  <c r="L15" i="2"/>
  <c r="L10" i="2"/>
  <c r="N15" i="2"/>
  <c r="N10" i="2"/>
  <c r="AC15" i="2"/>
  <c r="AC10" i="2"/>
  <c r="I15" i="2" l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AD3" authorId="0" shapeId="0" xr:uid="{4C2CF6E9-1119-4A1D-B765-2CB5C560B7A3}">
      <text>
        <r>
          <rPr>
            <b/>
            <sz val="9"/>
            <color indexed="81"/>
            <rFont val="Tahoma"/>
            <family val="2"/>
          </rPr>
          <t xml:space="preserve">Dennis Hesselberth
</t>
        </r>
        <r>
          <rPr>
            <sz val="9"/>
            <color indexed="81"/>
            <rFont val="Tahoma"/>
            <family val="2"/>
          </rPr>
          <t>Outlook
$36B - $37.5B</t>
        </r>
      </text>
    </comment>
  </commentList>
</comments>
</file>

<file path=xl/sharedStrings.xml><?xml version="1.0" encoding="utf-8"?>
<sst xmlns="http://schemas.openxmlformats.org/spreadsheetml/2006/main" count="102" uniqueCount="88">
  <si>
    <t>Revenue</t>
  </si>
  <si>
    <t>COGS</t>
  </si>
  <si>
    <t>Gross profit</t>
  </si>
  <si>
    <t>SG&amp;A</t>
  </si>
  <si>
    <t>Operating income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</si>
  <si>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</si>
  <si>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</si>
  <si>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</si>
  <si>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</si>
  <si>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</si>
  <si>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</si>
  <si>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</si>
  <si>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</si>
  <si>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</si>
  <si>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</si>
  <si>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</si>
  <si>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</si>
  <si>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</si>
  <si>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</si>
  <si>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</si>
  <si>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</si>
  <si>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</si>
  <si>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</si>
  <si>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</si>
  <si>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</si>
  <si>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</si>
  <si>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</si>
  <si>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</si>
  <si>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</si>
  <si>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</si>
  <si>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</si>
  <si>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</si>
  <si>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</si>
  <si>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</si>
  <si>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</si>
  <si>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Net cash</t>
  </si>
  <si>
    <t>Progress/finished homes</t>
  </si>
  <si>
    <t>Land &amp; lots</t>
  </si>
  <si>
    <t>Land held</t>
  </si>
  <si>
    <t>Land held for sale</t>
  </si>
  <si>
    <t>Rental</t>
  </si>
  <si>
    <t>Mortgage loans held for sale</t>
  </si>
  <si>
    <t>DT</t>
  </si>
  <si>
    <t>PP&amp;E</t>
  </si>
  <si>
    <t>Other</t>
  </si>
  <si>
    <t>Goodwill</t>
  </si>
  <si>
    <t>Assets</t>
  </si>
  <si>
    <t>A/P</t>
  </si>
  <si>
    <t>Accrued exepenses &amp; other</t>
  </si>
  <si>
    <t>Liabilities</t>
  </si>
  <si>
    <t>S/E</t>
  </si>
  <si>
    <t>L+S/E</t>
  </si>
  <si>
    <t>Outlook</t>
  </si>
  <si>
    <t>Homes closed by homebuilding operations of 90.000 homes to 92.000 homes</t>
  </si>
  <si>
    <t>Buybacks $2.4B</t>
  </si>
  <si>
    <t>Dividends $500M</t>
  </si>
  <si>
    <t>Revenue $36.0B to $37.5B</t>
  </si>
  <si>
    <t>Income tax rate 24,5%</t>
  </si>
  <si>
    <t>Cash flow greater then fiscal 2024</t>
  </si>
  <si>
    <t>D.R. Horton is America's Builder, has been the largest homebuilder by volume in the United States since 2012.</t>
  </si>
  <si>
    <t xml:space="preserve">Operations in 125 markets in 36 states across the United States and is engaged in the construction and sale </t>
  </si>
  <si>
    <t>of high-quality homes with sales prices generally ranging from $200,000 to over $1,000,000.</t>
  </si>
  <si>
    <t>The Company also sells single-family and multi-family rental properties.</t>
  </si>
  <si>
    <t>During the fiscal year 2024 closed 89,690 homes in its homebuilding operations,</t>
  </si>
  <si>
    <t>in addition to 3,970 single-family rental homes and 2,202 multi-family rental units in its rental operations.</t>
  </si>
  <si>
    <t xml:space="preserve">Also provding mortgage financing, title service and insurance agency services for its homebuyers and it's </t>
  </si>
  <si>
    <r>
      <t xml:space="preserve">majority-owner of </t>
    </r>
    <r>
      <rPr>
        <u/>
        <sz val="10"/>
        <color theme="1"/>
        <rFont val="arial"/>
        <family val="2"/>
      </rPr>
      <t>Forestar Group Inc.,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a publicly traded national residential lot development company.</t>
    </r>
  </si>
  <si>
    <t>Model NI</t>
  </si>
  <si>
    <t>Reported NI</t>
  </si>
  <si>
    <t>D&amp;A</t>
  </si>
  <si>
    <t>SBC</t>
  </si>
  <si>
    <t>Inventory &amp; land option charges</t>
  </si>
  <si>
    <t>In progress &amp; finished homes</t>
  </si>
  <si>
    <t>A/P, accrued expenses &amp; other</t>
  </si>
  <si>
    <t>CFFO</t>
  </si>
  <si>
    <t>CapEx</t>
  </si>
  <si>
    <t>Sale of assets</t>
  </si>
  <si>
    <t>Aquisitions</t>
  </si>
  <si>
    <t>CFFI</t>
  </si>
  <si>
    <t>Mortgage payments</t>
  </si>
  <si>
    <t>ESOP</t>
  </si>
  <si>
    <t>Tax shares withheld</t>
  </si>
  <si>
    <t>Dividends</t>
  </si>
  <si>
    <t>Buybacks</t>
  </si>
  <si>
    <t>CFFF</t>
  </si>
  <si>
    <t>CIC</t>
  </si>
  <si>
    <t>FCF</t>
  </si>
  <si>
    <t>Issuance Forestar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</si>
</sst>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/mmm;@"/>
    <numFmt numFmtId="165" formatCode="0\x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0</xdr:rowOff>
    </xdr:from>
    <xdr:to>
      <xdr:col>17</xdr:col>
      <xdr:colOff>28575</xdr:colOff>
      <xdr:row>54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DECAEEB-A7F5-6F94-4AFA-65096CB81E42}"/>
            </a:ext>
          </a:extLst>
        </xdr:cNvPr>
        <xdr:cNvCxnSpPr/>
      </xdr:nvCxnSpPr>
      <xdr:spPr>
        <a:xfrm>
          <a:off x="11430000" y="0"/>
          <a:ext cx="0" cy="88296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0</xdr:row>
      <xdr:rowOff>0</xdr:rowOff>
    </xdr:from>
    <xdr:to>
      <xdr:col>29</xdr:col>
      <xdr:colOff>38100</xdr:colOff>
      <xdr:row>58</xdr:row>
      <xdr:rowOff>28575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86929E-6903-4478-ACC6-3161CD432E5D}"/>
            </a:ext>
          </a:extLst>
        </xdr:cNvPr>
        <xdr:cNvCxnSpPr/>
      </xdr:nvCxnSpPr>
      <xdr:spPr>
        <a:xfrm>
          <a:off x="18754725" y="0"/>
          <a:ext cx="0" cy="100679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C119-9711-4B90-AEE6-30BDA1AAC033}">
  <dimension ref="C3:N22"/>
  <sheetViews>
    <sheetView workbookViewId="0">
      <selection activeCell="D31" sqref="D31"/>
    </sheetView>
  </sheetViews>
  <sheetFormatPr defaultRowHeight="12.75" x14ac:dyDescent="0.2"/>
  <sheetData>
    <row r="3" spans="3:14" x14ac:dyDescent="0.2">
      <c r="C3" s="10" t="s">
        <v>52</v>
      </c>
      <c r="D3" s="10">
        <v>2025</v>
      </c>
      <c r="L3" t="s">
        <v>30</v>
      </c>
      <c r="M3">
        <v>141.77000000000001</v>
      </c>
    </row>
    <row r="4" spans="3:14" x14ac:dyDescent="0.2">
      <c r="C4" t="s">
        <v>56</v>
      </c>
      <c r="L4" t="s">
        <v>8</v>
      </c>
      <c r="M4" s="1">
        <v>321.16952600000002</v>
      </c>
      <c r="N4" s="8" t="s">
        <v>29</v>
      </c>
    </row>
    <row r="5" spans="3:14" x14ac:dyDescent="0.2">
      <c r="C5" t="s">
        <v>57</v>
      </c>
      <c r="L5" t="s">
        <v>31</v>
      </c>
      <c r="M5" s="1">
        <f>+M3*M4</f>
        <v>45532.203701020007</v>
      </c>
      <c r="N5" s="8"/>
    </row>
    <row r="6" spans="3:14" x14ac:dyDescent="0.2">
      <c r="C6" t="s">
        <v>58</v>
      </c>
      <c r="L6" t="s">
        <v>32</v>
      </c>
      <c r="M6" s="1">
        <v>4516.3999999999996</v>
      </c>
      <c r="N6" s="8" t="s">
        <v>29</v>
      </c>
    </row>
    <row r="7" spans="3:14" x14ac:dyDescent="0.2">
      <c r="C7" t="s">
        <v>53</v>
      </c>
      <c r="L7" t="s">
        <v>33</v>
      </c>
      <c r="M7" s="1">
        <v>5917.7</v>
      </c>
      <c r="N7" s="8" t="s">
        <v>29</v>
      </c>
    </row>
    <row r="8" spans="3:14" x14ac:dyDescent="0.2">
      <c r="C8" t="s">
        <v>54</v>
      </c>
      <c r="L8" t="s">
        <v>34</v>
      </c>
      <c r="M8" s="1">
        <f>+M5-M6+M7</f>
        <v>46933.503701020003</v>
      </c>
    </row>
    <row r="9" spans="3:14" x14ac:dyDescent="0.2">
      <c r="C9" t="s">
        <v>55</v>
      </c>
      <c r="M9" s="1">
        <v>4457</v>
      </c>
    </row>
    <row r="10" spans="3:14" x14ac:dyDescent="0.2">
      <c r="M10" s="9">
        <f>+M8/M9</f>
        <v>10.530290262737267</v>
      </c>
    </row>
    <row r="11" spans="3:14" x14ac:dyDescent="0.2">
      <c r="M11" s="9"/>
    </row>
    <row r="15" spans="3:14" x14ac:dyDescent="0.2">
      <c r="C15" t="s">
        <v>59</v>
      </c>
    </row>
    <row r="16" spans="3:14" x14ac:dyDescent="0.2">
      <c r="C16" t="s">
        <v>60</v>
      </c>
    </row>
    <row r="17" spans="3:3" x14ac:dyDescent="0.2">
      <c r="C17" t="s">
        <v>61</v>
      </c>
    </row>
    <row r="18" spans="3:3" x14ac:dyDescent="0.2">
      <c r="C18" t="s">
        <v>62</v>
      </c>
    </row>
    <row r="19" spans="3:3" x14ac:dyDescent="0.2">
      <c r="C19" t="s">
        <v>63</v>
      </c>
    </row>
    <row r="20" spans="3:3" x14ac:dyDescent="0.2">
      <c r="C20" t="s">
        <v>64</v>
      </c>
    </row>
    <row r="21" spans="3:3" x14ac:dyDescent="0.2">
      <c r="C21" t="s">
        <v>65</v>
      </c>
    </row>
    <row r="22" spans="3:3" x14ac:dyDescent="0.2">
      <c r="C2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2F07-3125-4A4A-A4A5-D0EEA920ADA3}">
  <dimension ref="A1:AM71"/>
  <sheetViews>
    <sheetView tabSelected="1" workbookViewId="0">
      <pane xSplit="1" ySplit="2" topLeftCell="G33" activePane="bottomRight" state="frozen"/>
      <selection pane="topRight" activeCell="B1" sqref="B1"/>
      <selection pane="bottomLeft" activeCell="A3" sqref="A3"/>
      <selection pane="bottomRight" activeCell="J43" sqref="J43"/>
    </sheetView>
  </sheetViews>
  <sheetFormatPr defaultRowHeight="12.75" x14ac:dyDescent="0.2"/>
  <cols>
    <col min="1" max="1" width="24.7109375" style="1" bestFit="1" customWidth="1"/>
    <col min="2" max="16384" width="9.140625" style="1"/>
  </cols>
  <sheetData>
    <row r="1" spans="1:39" s="7" customFormat="1" x14ac:dyDescent="0.2">
      <c r="B1" s="7">
        <v>45657</v>
      </c>
      <c r="C1" s="7">
        <v>45382</v>
      </c>
      <c r="D1" s="7">
        <v>45473</v>
      </c>
      <c r="E1" s="7">
        <v>45565</v>
      </c>
      <c r="F1" s="7">
        <v>45657</v>
      </c>
      <c r="G1" s="7">
        <v>45382</v>
      </c>
      <c r="H1" s="7">
        <v>45473</v>
      </c>
      <c r="I1" s="7">
        <v>45565</v>
      </c>
      <c r="J1" s="7">
        <v>45657</v>
      </c>
      <c r="K1" s="7">
        <v>45382</v>
      </c>
      <c r="L1" s="7">
        <v>45473</v>
      </c>
      <c r="M1" s="7">
        <v>45565</v>
      </c>
      <c r="N1" s="7">
        <v>45657</v>
      </c>
      <c r="O1" s="7">
        <v>45382</v>
      </c>
      <c r="P1" s="7">
        <v>45473</v>
      </c>
      <c r="Q1" s="7">
        <v>45565</v>
      </c>
      <c r="Y1" s="7">
        <v>45565</v>
      </c>
      <c r="Z1" s="7">
        <v>45565</v>
      </c>
      <c r="AA1" s="7">
        <v>45565</v>
      </c>
      <c r="AB1" s="7">
        <v>45565</v>
      </c>
      <c r="AC1" s="7">
        <v>45565</v>
      </c>
    </row>
    <row r="2" spans="1:39" x14ac:dyDescent="0.2">
      <c r="A2" s="2"/>
      <c r="B2" s="2" t="s">
        <v>14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15</v>
      </c>
      <c r="H2" s="2" t="s">
        <v>16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S2">
        <v>2014</v>
      </c>
      <c r="T2">
        <f>+S2+1</f>
        <v>2015</v>
      </c>
      <c r="U2">
        <f t="shared" ref="U2:AM2" si="0">+T2+1</f>
        <v>2016</v>
      </c>
      <c r="V2">
        <f t="shared" si="0"/>
        <v>2017</v>
      </c>
      <c r="W2">
        <f t="shared" si="0"/>
        <v>2018</v>
      </c>
      <c r="X2">
        <f t="shared" si="0"/>
        <v>2019</v>
      </c>
      <c r="Y2">
        <f t="shared" si="0"/>
        <v>2020</v>
      </c>
      <c r="Z2">
        <f t="shared" si="0"/>
        <v>2021</v>
      </c>
      <c r="AA2">
        <f t="shared" si="0"/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</row>
    <row r="3" spans="1:39" s="6" customFormat="1" x14ac:dyDescent="0.2">
      <c r="A3" s="6" t="s">
        <v>0</v>
      </c>
      <c r="B3" s="6">
        <v>5933.4</v>
      </c>
      <c r="C3" s="6">
        <v>6446.9</v>
      </c>
      <c r="D3" s="6">
        <v>7284.6</v>
      </c>
      <c r="E3" s="6">
        <f>+Z3-SUM(B3:D3)</f>
        <v>8109.2999999999993</v>
      </c>
      <c r="F3" s="6">
        <v>7053.4</v>
      </c>
      <c r="G3" s="6">
        <v>7999</v>
      </c>
      <c r="H3" s="6">
        <v>8788.1</v>
      </c>
      <c r="I3" s="6">
        <f>+AA3-SUM(F3:H3)</f>
        <v>9639.5</v>
      </c>
      <c r="J3" s="6">
        <v>7257.88</v>
      </c>
      <c r="K3" s="6">
        <v>7972.9</v>
      </c>
      <c r="L3" s="6">
        <v>9725.6</v>
      </c>
      <c r="M3" s="6">
        <f>+AB3-SUM(J3:L3)</f>
        <v>10504.020000000004</v>
      </c>
      <c r="N3" s="6">
        <v>7726</v>
      </c>
      <c r="O3" s="6">
        <v>9107.2000000000007</v>
      </c>
      <c r="P3" s="6">
        <v>9965.7000000000007</v>
      </c>
      <c r="Q3" s="6">
        <f>+AC3-SUM(N3:P3)</f>
        <v>10002.5</v>
      </c>
      <c r="Z3" s="6">
        <v>27774.2</v>
      </c>
      <c r="AA3" s="6">
        <v>33480</v>
      </c>
      <c r="AB3" s="6">
        <v>35460.400000000001</v>
      </c>
      <c r="AC3" s="6">
        <v>36801.4</v>
      </c>
    </row>
    <row r="4" spans="1:39" x14ac:dyDescent="0.2">
      <c r="A4" s="1" t="s">
        <v>1</v>
      </c>
      <c r="B4" s="1">
        <v>4332.5</v>
      </c>
      <c r="C4" s="1">
        <v>4650.8999999999996</v>
      </c>
      <c r="D4" s="1">
        <v>5212.6000000000004</v>
      </c>
      <c r="E4" s="1">
        <f>+Z4-SUM(B4:D4)</f>
        <v>5703.2000000000007</v>
      </c>
      <c r="F4" s="1">
        <v>4905.7</v>
      </c>
      <c r="G4" s="1">
        <v>5429.9</v>
      </c>
      <c r="H4" s="1">
        <v>5879.3</v>
      </c>
      <c r="I4" s="1">
        <f>+AA4-SUM(F4:H4)</f>
        <v>6761.0000000000036</v>
      </c>
      <c r="J4" s="1">
        <v>5291.3</v>
      </c>
      <c r="K4" s="1">
        <v>5996.2</v>
      </c>
      <c r="L4" s="1">
        <v>7141.8</v>
      </c>
      <c r="M4" s="1">
        <f>+AB4-SUM(J4:L4)</f>
        <v>7680.7000000000007</v>
      </c>
      <c r="N4" s="1">
        <v>5719.8</v>
      </c>
      <c r="O4" s="1">
        <v>6774.3</v>
      </c>
      <c r="P4" s="1">
        <v>7323.7</v>
      </c>
      <c r="Q4" s="1">
        <f>+AC4-SUM(N4:P4)</f>
        <v>7448.2000000000007</v>
      </c>
      <c r="Z4" s="1">
        <v>19899.2</v>
      </c>
      <c r="AA4" s="1">
        <v>22975.9</v>
      </c>
      <c r="AB4" s="1">
        <v>26110</v>
      </c>
      <c r="AC4" s="1">
        <v>27266</v>
      </c>
    </row>
    <row r="5" spans="1:39" x14ac:dyDescent="0.2">
      <c r="A5" s="1" t="s">
        <v>2</v>
      </c>
      <c r="B5" s="1">
        <f t="shared" ref="B5:Q5" si="1">+B3-B4</f>
        <v>1600.8999999999996</v>
      </c>
      <c r="C5" s="1">
        <f t="shared" si="1"/>
        <v>1796</v>
      </c>
      <c r="D5" s="1">
        <f t="shared" si="1"/>
        <v>2072</v>
      </c>
      <c r="E5" s="1">
        <f t="shared" si="1"/>
        <v>2406.0999999999985</v>
      </c>
      <c r="F5" s="1">
        <f t="shared" si="1"/>
        <v>2147.6999999999998</v>
      </c>
      <c r="G5" s="1">
        <f t="shared" si="1"/>
        <v>2569.1000000000004</v>
      </c>
      <c r="H5" s="1">
        <f t="shared" si="1"/>
        <v>2908.8</v>
      </c>
      <c r="I5" s="1">
        <f t="shared" si="1"/>
        <v>2878.4999999999964</v>
      </c>
      <c r="J5" s="1">
        <f t="shared" si="1"/>
        <v>1966.58</v>
      </c>
      <c r="K5" s="1">
        <f t="shared" si="1"/>
        <v>1976.6999999999998</v>
      </c>
      <c r="L5" s="1">
        <f t="shared" si="1"/>
        <v>2583.8000000000002</v>
      </c>
      <c r="M5" s="1">
        <f t="shared" si="1"/>
        <v>2823.3200000000033</v>
      </c>
      <c r="N5" s="1">
        <f t="shared" si="1"/>
        <v>2006.1999999999998</v>
      </c>
      <c r="O5" s="1">
        <f t="shared" si="1"/>
        <v>2332.9000000000005</v>
      </c>
      <c r="P5" s="1">
        <f t="shared" si="1"/>
        <v>2642.0000000000009</v>
      </c>
      <c r="Q5" s="1">
        <f t="shared" si="1"/>
        <v>2554.2999999999993</v>
      </c>
      <c r="Z5" s="1">
        <f>+Z3-Z4</f>
        <v>7875</v>
      </c>
      <c r="AA5" s="1">
        <f>+AA3-AA4</f>
        <v>10504.099999999999</v>
      </c>
      <c r="AB5" s="1">
        <f>+AB3-AB4</f>
        <v>9350.4000000000015</v>
      </c>
      <c r="AC5" s="1">
        <f>+AC3-AC4</f>
        <v>9535.4000000000015</v>
      </c>
    </row>
    <row r="6" spans="1:39" x14ac:dyDescent="0.2">
      <c r="A6" s="1" t="s">
        <v>3</v>
      </c>
      <c r="B6" s="1">
        <v>585.9</v>
      </c>
      <c r="C6" s="1">
        <v>621.5</v>
      </c>
      <c r="D6" s="1">
        <v>655.7</v>
      </c>
      <c r="E6" s="1">
        <f>+Z6-SUM(B6:D6)</f>
        <v>693.09999999999968</v>
      </c>
      <c r="F6" s="1">
        <v>665.9</v>
      </c>
      <c r="G6" s="1">
        <v>695.1</v>
      </c>
      <c r="H6" s="1">
        <v>740.6</v>
      </c>
      <c r="I6" s="1">
        <f>+AA6-SUM(F6:H6)</f>
        <v>832.09999999999991</v>
      </c>
      <c r="J6" s="1">
        <v>737</v>
      </c>
      <c r="K6" s="1">
        <v>773.6</v>
      </c>
      <c r="L6" s="1">
        <v>852.1</v>
      </c>
      <c r="M6" s="1">
        <f>+AB6-SUM(J6:L6)</f>
        <v>886.10000000000036</v>
      </c>
      <c r="N6" s="1">
        <v>835</v>
      </c>
      <c r="O6" s="1">
        <v>880.6</v>
      </c>
      <c r="P6" s="1">
        <v>923.6</v>
      </c>
      <c r="Q6" s="1">
        <f>+AC6-SUM(N6:P6)</f>
        <v>960.30000000000018</v>
      </c>
      <c r="Z6" s="1">
        <v>2556.1999999999998</v>
      </c>
      <c r="AA6" s="1">
        <v>2933.7</v>
      </c>
      <c r="AB6" s="1">
        <v>3248.8</v>
      </c>
      <c r="AC6" s="1">
        <v>3599.5</v>
      </c>
    </row>
    <row r="7" spans="1:39" x14ac:dyDescent="0.2">
      <c r="A7" s="1" t="s">
        <v>4</v>
      </c>
      <c r="B7" s="1">
        <f t="shared" ref="B7:Q7" si="2">+B5-B6</f>
        <v>1014.9999999999997</v>
      </c>
      <c r="C7" s="1">
        <f t="shared" si="2"/>
        <v>1174.5</v>
      </c>
      <c r="D7" s="1">
        <f t="shared" si="2"/>
        <v>1416.3</v>
      </c>
      <c r="E7" s="1">
        <f t="shared" si="2"/>
        <v>1712.9999999999989</v>
      </c>
      <c r="F7" s="1">
        <f t="shared" si="2"/>
        <v>1481.7999999999997</v>
      </c>
      <c r="G7" s="1">
        <f t="shared" si="2"/>
        <v>1874.0000000000005</v>
      </c>
      <c r="H7" s="1">
        <f t="shared" si="2"/>
        <v>2168.2000000000003</v>
      </c>
      <c r="I7" s="1">
        <f t="shared" si="2"/>
        <v>2046.3999999999965</v>
      </c>
      <c r="J7" s="1">
        <f t="shared" si="2"/>
        <v>1229.58</v>
      </c>
      <c r="K7" s="1">
        <f t="shared" si="2"/>
        <v>1203.0999999999999</v>
      </c>
      <c r="L7" s="1">
        <f t="shared" si="2"/>
        <v>1731.7000000000003</v>
      </c>
      <c r="M7" s="1">
        <f t="shared" si="2"/>
        <v>1937.220000000003</v>
      </c>
      <c r="N7" s="1">
        <f t="shared" si="2"/>
        <v>1171.1999999999998</v>
      </c>
      <c r="O7" s="1">
        <f t="shared" si="2"/>
        <v>1452.3000000000006</v>
      </c>
      <c r="P7" s="1">
        <f t="shared" si="2"/>
        <v>1718.400000000001</v>
      </c>
      <c r="Q7" s="1">
        <f t="shared" si="2"/>
        <v>1593.9999999999991</v>
      </c>
      <c r="Z7" s="1">
        <f>+Z5-Z6</f>
        <v>5318.8</v>
      </c>
      <c r="AA7" s="1">
        <f>+AA5-AA6</f>
        <v>7570.3999999999987</v>
      </c>
      <c r="AB7" s="1">
        <f>+AB5-AB6</f>
        <v>6101.6000000000013</v>
      </c>
      <c r="AC7" s="1">
        <f>+AC5-AC6</f>
        <v>5935.9000000000015</v>
      </c>
    </row>
    <row r="8" spans="1:39" x14ac:dyDescent="0.2">
      <c r="A8" s="1" t="s">
        <v>5</v>
      </c>
      <c r="B8" s="1">
        <v>239.1</v>
      </c>
      <c r="C8" s="1">
        <v>246</v>
      </c>
      <c r="D8" s="1">
        <v>299.10000000000002</v>
      </c>
      <c r="E8" s="1">
        <f>+Z8-SUM(B8:D8)</f>
        <v>380.89999999999986</v>
      </c>
      <c r="F8" s="1">
        <v>351.5</v>
      </c>
      <c r="G8" s="1">
        <v>441</v>
      </c>
      <c r="H8" s="1">
        <v>524</v>
      </c>
      <c r="I8" s="1">
        <f>+AA8-SUM(F8:H8)</f>
        <v>417.59999999999991</v>
      </c>
      <c r="J8" s="1">
        <v>298.89999999999998</v>
      </c>
      <c r="K8" s="1">
        <v>344.8</v>
      </c>
      <c r="L8" s="1">
        <v>432.2</v>
      </c>
      <c r="M8" s="1">
        <f>+AB8-SUM(J8:L8)</f>
        <v>443.59999999999991</v>
      </c>
      <c r="N8" s="1">
        <v>291.8</v>
      </c>
      <c r="O8" s="1">
        <v>344.8</v>
      </c>
      <c r="P8" s="1">
        <v>432.2</v>
      </c>
      <c r="Q8" s="1">
        <f>+AC8-SUM(N8:P8)</f>
        <v>409.90000000000009</v>
      </c>
      <c r="Z8" s="1">
        <v>1165.0999999999999</v>
      </c>
      <c r="AA8" s="1">
        <v>1734.1</v>
      </c>
      <c r="AB8" s="1">
        <v>1519.5</v>
      </c>
      <c r="AC8" s="1">
        <v>1478.7</v>
      </c>
    </row>
    <row r="9" spans="1:39" s="6" customFormat="1" x14ac:dyDescent="0.2">
      <c r="A9" s="6" t="s">
        <v>6</v>
      </c>
      <c r="B9" s="6">
        <f t="shared" ref="B9:Q9" si="3">+B7-B8</f>
        <v>775.89999999999964</v>
      </c>
      <c r="C9" s="6">
        <f t="shared" si="3"/>
        <v>928.5</v>
      </c>
      <c r="D9" s="6">
        <f t="shared" si="3"/>
        <v>1117.1999999999998</v>
      </c>
      <c r="E9" s="6">
        <f t="shared" si="3"/>
        <v>1332.099999999999</v>
      </c>
      <c r="F9" s="6">
        <f t="shared" si="3"/>
        <v>1130.2999999999997</v>
      </c>
      <c r="G9" s="6">
        <f t="shared" si="3"/>
        <v>1433.0000000000005</v>
      </c>
      <c r="H9" s="6">
        <f t="shared" si="3"/>
        <v>1644.2000000000003</v>
      </c>
      <c r="I9" s="6">
        <f t="shared" si="3"/>
        <v>1628.7999999999965</v>
      </c>
      <c r="J9" s="6">
        <f t="shared" si="3"/>
        <v>930.68</v>
      </c>
      <c r="K9" s="6">
        <f t="shared" si="3"/>
        <v>858.3</v>
      </c>
      <c r="L9" s="6">
        <f t="shared" si="3"/>
        <v>1299.5000000000002</v>
      </c>
      <c r="M9" s="6">
        <f t="shared" si="3"/>
        <v>1493.6200000000031</v>
      </c>
      <c r="N9" s="6">
        <f t="shared" si="3"/>
        <v>879.39999999999986</v>
      </c>
      <c r="O9" s="6">
        <f t="shared" si="3"/>
        <v>1107.5000000000007</v>
      </c>
      <c r="P9" s="6">
        <f t="shared" si="3"/>
        <v>1286.200000000001</v>
      </c>
      <c r="Q9" s="6">
        <f t="shared" si="3"/>
        <v>1184.099999999999</v>
      </c>
      <c r="Z9" s="6">
        <f>+Z7-Z8</f>
        <v>4153.7000000000007</v>
      </c>
      <c r="AA9" s="6">
        <f>+AA7-AA8</f>
        <v>5836.2999999999993</v>
      </c>
      <c r="AB9" s="6">
        <f>+AB7-AB8</f>
        <v>4582.1000000000013</v>
      </c>
      <c r="AC9" s="6">
        <f>+AC7-AC8</f>
        <v>4457.2000000000016</v>
      </c>
    </row>
    <row r="10" spans="1:39" s="4" customFormat="1" x14ac:dyDescent="0.2">
      <c r="A10" s="4" t="s">
        <v>7</v>
      </c>
      <c r="B10" s="4">
        <f t="shared" ref="B10:Q10" si="4">+B9/B11</f>
        <v>2.0970270270270261</v>
      </c>
      <c r="C10" s="4">
        <f t="shared" si="4"/>
        <v>2.52859477124183</v>
      </c>
      <c r="D10" s="4">
        <f t="shared" si="4"/>
        <v>3.0692307692307685</v>
      </c>
      <c r="E10" s="4">
        <f t="shared" si="4"/>
        <v>3.6788180060756668</v>
      </c>
      <c r="F10" s="4">
        <f t="shared" si="4"/>
        <v>3.1388503193557336</v>
      </c>
      <c r="G10" s="4">
        <f t="shared" si="4"/>
        <v>4.0218916643278151</v>
      </c>
      <c r="H10" s="4">
        <f t="shared" si="4"/>
        <v>4.6564712546020965</v>
      </c>
      <c r="I10" s="4">
        <f t="shared" si="4"/>
        <v>4.6577066056619865</v>
      </c>
      <c r="J10" s="4">
        <f t="shared" si="4"/>
        <v>2.6828480830210437</v>
      </c>
      <c r="K10" s="4">
        <f t="shared" si="4"/>
        <v>2.4885474050449408</v>
      </c>
      <c r="L10" s="4">
        <f t="shared" si="4"/>
        <v>3.7963774466841955</v>
      </c>
      <c r="M10" s="4">
        <f t="shared" si="4"/>
        <v>4.4020630710285973</v>
      </c>
      <c r="N10" s="4">
        <f t="shared" si="4"/>
        <v>2.6519903498190587</v>
      </c>
      <c r="O10" s="4">
        <f t="shared" si="4"/>
        <v>3.3228322832283248</v>
      </c>
      <c r="P10" s="4">
        <f t="shared" si="4"/>
        <v>3.8963950318085456</v>
      </c>
      <c r="Q10" s="4">
        <f t="shared" si="4"/>
        <v>3.6177818515123707</v>
      </c>
      <c r="Z10" s="4">
        <f>+Z9/Z11</f>
        <v>11.355112083105524</v>
      </c>
      <c r="AA10" s="4">
        <f>+AA9/AA11</f>
        <v>16.449549041713638</v>
      </c>
      <c r="AB10" s="4">
        <f>+AB9/AB11</f>
        <v>13.347218176521995</v>
      </c>
      <c r="AC10" s="4">
        <f>+AC9/AC11</f>
        <v>13.441495778045843</v>
      </c>
    </row>
    <row r="11" spans="1:39" x14ac:dyDescent="0.2">
      <c r="A11" s="1" t="s">
        <v>8</v>
      </c>
      <c r="B11" s="1">
        <v>370</v>
      </c>
      <c r="C11" s="1">
        <v>367.2</v>
      </c>
      <c r="D11" s="1">
        <v>364</v>
      </c>
      <c r="E11" s="1">
        <v>362.1</v>
      </c>
      <c r="F11" s="1">
        <v>360.1</v>
      </c>
      <c r="G11" s="1">
        <v>356.3</v>
      </c>
      <c r="H11" s="1">
        <v>353.1</v>
      </c>
      <c r="I11" s="1">
        <v>349.7</v>
      </c>
      <c r="J11" s="1">
        <v>346.9</v>
      </c>
      <c r="K11" s="1">
        <v>344.9</v>
      </c>
      <c r="L11" s="1">
        <v>342.3</v>
      </c>
      <c r="M11" s="1">
        <v>339.3</v>
      </c>
      <c r="N11" s="1">
        <v>331.6</v>
      </c>
      <c r="O11" s="1">
        <v>333.3</v>
      </c>
      <c r="P11" s="1">
        <v>330.1</v>
      </c>
      <c r="Q11" s="1">
        <v>327.3</v>
      </c>
      <c r="Z11" s="1">
        <v>365.8</v>
      </c>
      <c r="AA11" s="1">
        <v>354.8</v>
      </c>
      <c r="AB11" s="1">
        <v>343.3</v>
      </c>
      <c r="AC11" s="1">
        <v>331.6</v>
      </c>
    </row>
    <row r="13" spans="1:39" s="3" customFormat="1" x14ac:dyDescent="0.2">
      <c r="A13" s="3" t="s">
        <v>9</v>
      </c>
      <c r="B13" s="3">
        <f t="shared" ref="B13:Q13" si="5">+B5/B3</f>
        <v>0.26981157515084098</v>
      </c>
      <c r="C13" s="3">
        <f t="shared" si="5"/>
        <v>0.27858350525058556</v>
      </c>
      <c r="D13" s="3">
        <f t="shared" si="5"/>
        <v>0.28443565878703014</v>
      </c>
      <c r="E13" s="3">
        <f t="shared" si="5"/>
        <v>0.29670871715191183</v>
      </c>
      <c r="F13" s="3">
        <f t="shared" si="5"/>
        <v>0.30449145093146568</v>
      </c>
      <c r="G13" s="3">
        <f t="shared" si="5"/>
        <v>0.32117764720590081</v>
      </c>
      <c r="H13" s="3">
        <f t="shared" si="5"/>
        <v>0.33099304741639263</v>
      </c>
      <c r="I13" s="3">
        <f t="shared" si="5"/>
        <v>0.29861507339592264</v>
      </c>
      <c r="J13" s="3">
        <f t="shared" si="5"/>
        <v>0.27095791057443769</v>
      </c>
      <c r="K13" s="3">
        <f t="shared" si="5"/>
        <v>0.24792735391137477</v>
      </c>
      <c r="L13" s="3">
        <f t="shared" si="5"/>
        <v>0.2656699843711442</v>
      </c>
      <c r="M13" s="3">
        <f t="shared" si="5"/>
        <v>0.26878471290039452</v>
      </c>
      <c r="N13" s="3">
        <f t="shared" si="5"/>
        <v>0.25966865130727412</v>
      </c>
      <c r="O13" s="3">
        <f t="shared" si="5"/>
        <v>0.25615996134926217</v>
      </c>
      <c r="P13" s="3">
        <f t="shared" si="5"/>
        <v>0.26510932498469758</v>
      </c>
      <c r="Q13" s="3">
        <f t="shared" si="5"/>
        <v>0.25536615846038485</v>
      </c>
      <c r="Z13" s="3">
        <f>+Z5/Z3</f>
        <v>0.28353651950371206</v>
      </c>
      <c r="AA13" s="3">
        <f>+AA5/AA3</f>
        <v>0.31374253285543602</v>
      </c>
      <c r="AB13" s="3">
        <f>+AB5/AB3</f>
        <v>0.26368568882471716</v>
      </c>
      <c r="AC13" s="3">
        <f>+AC5/AC3</f>
        <v>0.25910427320699758</v>
      </c>
    </row>
    <row r="14" spans="1:39" s="3" customFormat="1" x14ac:dyDescent="0.2">
      <c r="A14" s="3" t="s">
        <v>10</v>
      </c>
      <c r="B14" s="3">
        <f t="shared" ref="B14:Q14" si="6">+B7/B3</f>
        <v>0.17106549364613877</v>
      </c>
      <c r="C14" s="3">
        <f t="shared" si="6"/>
        <v>0.18218058291582001</v>
      </c>
      <c r="D14" s="3">
        <f t="shared" si="6"/>
        <v>0.19442385305987972</v>
      </c>
      <c r="E14" s="3">
        <f t="shared" si="6"/>
        <v>0.2112389478746623</v>
      </c>
      <c r="F14" s="3">
        <f t="shared" si="6"/>
        <v>0.21008308050018429</v>
      </c>
      <c r="G14" s="3">
        <f t="shared" si="6"/>
        <v>0.23427928491061389</v>
      </c>
      <c r="H14" s="3">
        <f t="shared" si="6"/>
        <v>0.24671999635871236</v>
      </c>
      <c r="I14" s="3">
        <f t="shared" si="6"/>
        <v>0.21229316873281773</v>
      </c>
      <c r="J14" s="3">
        <f t="shared" si="6"/>
        <v>0.16941310685764988</v>
      </c>
      <c r="K14" s="3">
        <f t="shared" si="6"/>
        <v>0.15089866924205747</v>
      </c>
      <c r="L14" s="3">
        <f t="shared" si="6"/>
        <v>0.17805585259521264</v>
      </c>
      <c r="M14" s="3">
        <f t="shared" si="6"/>
        <v>0.18442653384132954</v>
      </c>
      <c r="N14" s="3">
        <f t="shared" si="6"/>
        <v>0.15159202692208126</v>
      </c>
      <c r="O14" s="3">
        <f t="shared" si="6"/>
        <v>0.15946723471539007</v>
      </c>
      <c r="P14" s="3">
        <f t="shared" si="6"/>
        <v>0.17243143983864664</v>
      </c>
      <c r="Q14" s="3">
        <f t="shared" si="6"/>
        <v>0.15936015996000991</v>
      </c>
      <c r="Z14" s="3">
        <f>+Z7/Z3</f>
        <v>0.19150146538874208</v>
      </c>
      <c r="AA14" s="3">
        <f>+AA7/AA3</f>
        <v>0.22611708482676221</v>
      </c>
      <c r="AB14" s="3">
        <f>+AB7/AB3</f>
        <v>0.17206799697690947</v>
      </c>
      <c r="AC14" s="3">
        <f>+AC7/AC3</f>
        <v>0.16129549419315573</v>
      </c>
    </row>
    <row r="15" spans="1:39" s="3" customFormat="1" x14ac:dyDescent="0.2">
      <c r="A15" s="3" t="s">
        <v>11</v>
      </c>
      <c r="B15" s="3">
        <f t="shared" ref="B15:Q15" si="7">+B9/B3</f>
        <v>0.13076819361580203</v>
      </c>
      <c r="C15" s="3">
        <f t="shared" si="7"/>
        <v>0.14402270858862401</v>
      </c>
      <c r="D15" s="3">
        <f t="shared" si="7"/>
        <v>0.15336463223787164</v>
      </c>
      <c r="E15" s="3">
        <f t="shared" si="7"/>
        <v>0.16426818591000444</v>
      </c>
      <c r="F15" s="3">
        <f t="shared" si="7"/>
        <v>0.16024895794935773</v>
      </c>
      <c r="G15" s="3">
        <f t="shared" si="7"/>
        <v>0.17914739342417807</v>
      </c>
      <c r="H15" s="3">
        <f t="shared" si="7"/>
        <v>0.1870939110843072</v>
      </c>
      <c r="I15" s="3">
        <f t="shared" si="7"/>
        <v>0.1689714196794436</v>
      </c>
      <c r="J15" s="3">
        <f t="shared" si="7"/>
        <v>0.12823028212094992</v>
      </c>
      <c r="K15" s="3">
        <f t="shared" si="7"/>
        <v>0.10765217173174127</v>
      </c>
      <c r="L15" s="3">
        <f t="shared" si="7"/>
        <v>0.13361643497573417</v>
      </c>
      <c r="M15" s="3">
        <f t="shared" si="7"/>
        <v>0.14219508340616283</v>
      </c>
      <c r="N15" s="3">
        <f t="shared" si="7"/>
        <v>0.11382345327465698</v>
      </c>
      <c r="O15" s="3">
        <f t="shared" si="7"/>
        <v>0.12160708011243858</v>
      </c>
      <c r="P15" s="3">
        <f t="shared" si="7"/>
        <v>0.12906268500958296</v>
      </c>
      <c r="Q15" s="3">
        <f t="shared" si="7"/>
        <v>0.1183804048987752</v>
      </c>
      <c r="Z15" s="3">
        <f>+Z9/Z3</f>
        <v>0.14955246235715161</v>
      </c>
      <c r="AA15" s="3">
        <f>+AA9/AA3</f>
        <v>0.17432198327359616</v>
      </c>
      <c r="AB15" s="3">
        <f>+AB9/AB3</f>
        <v>0.12921738051460224</v>
      </c>
      <c r="AC15" s="3">
        <f>+AC9/AC3</f>
        <v>0.12111495758313547</v>
      </c>
    </row>
    <row r="16" spans="1:39" s="3" customFormat="1" x14ac:dyDescent="0.2">
      <c r="A16" s="3" t="s">
        <v>12</v>
      </c>
      <c r="B16" s="3">
        <f t="shared" ref="B16:Q16" si="8">+B8/B7</f>
        <v>0.23556650246305427</v>
      </c>
      <c r="C16" s="3">
        <f t="shared" si="8"/>
        <v>0.20945083014048532</v>
      </c>
      <c r="D16" s="3">
        <f t="shared" si="8"/>
        <v>0.21118407117136201</v>
      </c>
      <c r="E16" s="3">
        <f t="shared" si="8"/>
        <v>0.22235843549328671</v>
      </c>
      <c r="F16" s="3">
        <f t="shared" si="8"/>
        <v>0.23721149952760162</v>
      </c>
      <c r="G16" s="3">
        <f t="shared" si="8"/>
        <v>0.23532550693703302</v>
      </c>
      <c r="H16" s="3">
        <f t="shared" si="8"/>
        <v>0.24167512222119727</v>
      </c>
      <c r="I16" s="3">
        <f t="shared" si="8"/>
        <v>0.20406567630961719</v>
      </c>
      <c r="J16" s="3">
        <f t="shared" si="8"/>
        <v>0.24309113681094358</v>
      </c>
      <c r="K16" s="3">
        <f t="shared" si="8"/>
        <v>0.28659296816557228</v>
      </c>
      <c r="L16" s="3">
        <f t="shared" si="8"/>
        <v>0.24958133625916726</v>
      </c>
      <c r="M16" s="3">
        <f t="shared" si="8"/>
        <v>0.22898793115908322</v>
      </c>
      <c r="N16" s="3">
        <f t="shared" si="8"/>
        <v>0.24914617486338803</v>
      </c>
      <c r="O16" s="3">
        <f t="shared" si="8"/>
        <v>0.23741651173999853</v>
      </c>
      <c r="P16" s="3">
        <f t="shared" si="8"/>
        <v>0.25151303538175029</v>
      </c>
      <c r="Q16" s="3">
        <f t="shared" si="8"/>
        <v>0.25715181932245945</v>
      </c>
      <c r="Z16" s="3">
        <f>+Z8/Z7</f>
        <v>0.21905316988794463</v>
      </c>
      <c r="AA16" s="3">
        <f>+AA8/AA7</f>
        <v>0.22906319349043647</v>
      </c>
      <c r="AB16" s="3">
        <f>+AB8/AB7</f>
        <v>0.24903304051396349</v>
      </c>
      <c r="AC16" s="3">
        <f>+AC8/AC7</f>
        <v>0.24911133947674316</v>
      </c>
    </row>
    <row r="17" spans="1:29" s="3" customFormat="1" x14ac:dyDescent="0.2"/>
    <row r="18" spans="1:29" s="5" customFormat="1" x14ac:dyDescent="0.2">
      <c r="A18" s="5" t="s">
        <v>13</v>
      </c>
      <c r="F18" s="5">
        <f t="shared" ref="F18:Q18" si="9">+F3/B3-1</f>
        <v>0.18876192402332559</v>
      </c>
      <c r="G18" s="5">
        <f t="shared" si="9"/>
        <v>0.24075136887496318</v>
      </c>
      <c r="H18" s="5">
        <f t="shared" si="9"/>
        <v>0.20639431128682428</v>
      </c>
      <c r="I18" s="5">
        <f t="shared" si="9"/>
        <v>0.18869692821821871</v>
      </c>
      <c r="J18" s="5">
        <f t="shared" si="9"/>
        <v>2.8990274194005794E-2</v>
      </c>
      <c r="K18" s="5">
        <f t="shared" si="9"/>
        <v>-3.2629078634829334E-3</v>
      </c>
      <c r="L18" s="5">
        <f t="shared" si="9"/>
        <v>0.10667834913121155</v>
      </c>
      <c r="M18" s="5">
        <f t="shared" si="9"/>
        <v>8.9685149644691542E-2</v>
      </c>
      <c r="N18" s="5">
        <f t="shared" si="9"/>
        <v>6.4498173020220761E-2</v>
      </c>
      <c r="O18" s="5">
        <f t="shared" si="9"/>
        <v>0.14226943772027756</v>
      </c>
      <c r="P18" s="5">
        <f t="shared" si="9"/>
        <v>2.4687422883935328E-2</v>
      </c>
      <c r="Q18" s="5">
        <f t="shared" si="9"/>
        <v>-4.7745529806683895E-2</v>
      </c>
      <c r="Z18" s="5" t="e">
        <f>+Z3/Y3-1</f>
        <v>#DIV/0!</v>
      </c>
      <c r="AA18" s="5">
        <f>+AA3/Z3-1</f>
        <v>0.20543526006149593</v>
      </c>
      <c r="AB18" s="5">
        <f>+AB3/AA3-1</f>
        <v>5.915173237753879E-2</v>
      </c>
      <c r="AC18" s="5">
        <f>+AC3/AB3-1</f>
        <v>3.7816832297435932E-2</v>
      </c>
    </row>
    <row r="20" spans="1:29" x14ac:dyDescent="0.2">
      <c r="A20" s="1" t="s">
        <v>35</v>
      </c>
      <c r="M20" s="1">
        <f>+M21-M35</f>
        <v>-2017.6</v>
      </c>
      <c r="N20" s="1">
        <f>+N21-N35</f>
        <v>-1945.7999999999997</v>
      </c>
      <c r="O20" s="1">
        <f>+O21-O35</f>
        <v>-2844.4999999999995</v>
      </c>
      <c r="P20" s="1">
        <f>+P21-P35</f>
        <v>-2671</v>
      </c>
      <c r="Q20" s="1">
        <f>+Q21-Q35</f>
        <v>-1373.6999999999998</v>
      </c>
    </row>
    <row r="21" spans="1:29" x14ac:dyDescent="0.2">
      <c r="A21" s="1" t="s">
        <v>32</v>
      </c>
      <c r="M21" s="1">
        <f>3873.6+26.5</f>
        <v>3900.1</v>
      </c>
      <c r="N21" s="1">
        <f>3323.4+21.2</f>
        <v>3344.6</v>
      </c>
      <c r="O21" s="1">
        <f>3063.1+30.3</f>
        <v>3093.4</v>
      </c>
      <c r="P21" s="1">
        <f>2992.3+27.7</f>
        <v>3020</v>
      </c>
      <c r="Q21" s="1">
        <f>4516.4+27.6</f>
        <v>4544</v>
      </c>
    </row>
    <row r="22" spans="1:29" x14ac:dyDescent="0.2">
      <c r="A22" s="1" t="s">
        <v>36</v>
      </c>
      <c r="M22" s="1">
        <v>9001.4</v>
      </c>
      <c r="N22" s="1">
        <v>9467.7000000000007</v>
      </c>
      <c r="O22" s="1">
        <v>9708.5</v>
      </c>
      <c r="P22" s="1">
        <v>9880.5</v>
      </c>
      <c r="Q22" s="1">
        <v>8875.7999999999993</v>
      </c>
    </row>
    <row r="23" spans="1:29" x14ac:dyDescent="0.2">
      <c r="A23" s="1" t="s">
        <v>37</v>
      </c>
      <c r="M23" s="1">
        <v>10621.9</v>
      </c>
      <c r="N23" s="1">
        <v>11497.1</v>
      </c>
      <c r="O23" s="1">
        <v>11889.9</v>
      </c>
      <c r="P23" s="1">
        <v>12413.4</v>
      </c>
      <c r="Q23" s="1">
        <v>12948.1</v>
      </c>
    </row>
    <row r="24" spans="1:29" x14ac:dyDescent="0.2">
      <c r="A24" s="1" t="s">
        <v>38</v>
      </c>
      <c r="M24" s="1">
        <v>50</v>
      </c>
      <c r="N24" s="1">
        <v>134.5</v>
      </c>
      <c r="O24" s="1">
        <v>155.19999999999999</v>
      </c>
      <c r="P24" s="1">
        <v>155.80000000000001</v>
      </c>
      <c r="Q24" s="1">
        <v>160.6</v>
      </c>
    </row>
    <row r="25" spans="1:29" x14ac:dyDescent="0.2">
      <c r="A25" s="1" t="s">
        <v>39</v>
      </c>
      <c r="M25" s="1">
        <v>8.6999999999999993</v>
      </c>
      <c r="N25" s="1">
        <v>3.5</v>
      </c>
      <c r="O25" s="1">
        <v>8.8000000000000007</v>
      </c>
      <c r="P25" s="1">
        <v>15.8</v>
      </c>
      <c r="Q25" s="1">
        <v>12.7</v>
      </c>
    </row>
    <row r="26" spans="1:29" x14ac:dyDescent="0.2">
      <c r="A26" s="1" t="s">
        <v>40</v>
      </c>
      <c r="M26" s="1">
        <v>2691.3</v>
      </c>
      <c r="N26" s="1">
        <v>2947.5</v>
      </c>
      <c r="O26" s="1">
        <v>3077.6</v>
      </c>
      <c r="P26" s="1">
        <v>3070.6</v>
      </c>
      <c r="Q26" s="1">
        <v>2906</v>
      </c>
    </row>
    <row r="27" spans="1:29" x14ac:dyDescent="0.2">
      <c r="A27" s="1" t="s">
        <v>41</v>
      </c>
      <c r="M27" s="1">
        <v>2519.9</v>
      </c>
      <c r="N27" s="1">
        <v>2044.1</v>
      </c>
      <c r="O27" s="1">
        <v>2672.4</v>
      </c>
      <c r="P27" s="1">
        <v>2578.8000000000002</v>
      </c>
      <c r="Q27" s="1">
        <v>2477.5</v>
      </c>
    </row>
    <row r="28" spans="1:29" x14ac:dyDescent="0.2">
      <c r="A28" s="1" t="s">
        <v>42</v>
      </c>
      <c r="M28" s="1">
        <v>187.2</v>
      </c>
      <c r="N28" s="1">
        <v>175.9</v>
      </c>
      <c r="O28" s="1">
        <v>166.5</v>
      </c>
      <c r="P28" s="1">
        <v>156.6</v>
      </c>
      <c r="Q28" s="1">
        <v>167.5</v>
      </c>
    </row>
    <row r="29" spans="1:29" x14ac:dyDescent="0.2">
      <c r="A29" s="1" t="s">
        <v>43</v>
      </c>
      <c r="M29" s="1">
        <v>445.4</v>
      </c>
      <c r="N29" s="1">
        <v>475.5</v>
      </c>
      <c r="O29" s="1">
        <v>479.9</v>
      </c>
      <c r="P29" s="1">
        <v>520.9</v>
      </c>
      <c r="Q29" s="1">
        <v>531</v>
      </c>
    </row>
    <row r="30" spans="1:29" x14ac:dyDescent="0.2">
      <c r="A30" s="1" t="s">
        <v>44</v>
      </c>
      <c r="M30" s="1">
        <v>2993</v>
      </c>
      <c r="N30" s="1">
        <v>3127.7</v>
      </c>
      <c r="O30" s="1">
        <v>2982.5</v>
      </c>
      <c r="P30" s="1">
        <v>3175.5</v>
      </c>
      <c r="Q30" s="1">
        <v>3317.6</v>
      </c>
    </row>
    <row r="31" spans="1:29" x14ac:dyDescent="0.2">
      <c r="A31" s="1" t="s">
        <v>45</v>
      </c>
      <c r="M31" s="1">
        <v>163.5</v>
      </c>
      <c r="N31" s="1">
        <v>163.5</v>
      </c>
      <c r="O31" s="1">
        <v>163.5</v>
      </c>
      <c r="P31" s="1">
        <v>163.5</v>
      </c>
      <c r="Q31" s="1">
        <v>163.5</v>
      </c>
    </row>
    <row r="32" spans="1:29" s="6" customFormat="1" x14ac:dyDescent="0.2">
      <c r="A32" s="6" t="s">
        <v>46</v>
      </c>
      <c r="M32" s="6">
        <f>+SUM(M21:M31)</f>
        <v>32582.400000000005</v>
      </c>
      <c r="N32" s="6">
        <f>+SUM(N21:N31)</f>
        <v>33381.599999999999</v>
      </c>
      <c r="O32" s="6">
        <f>+SUM(O21:O31)</f>
        <v>34398.199999999997</v>
      </c>
      <c r="P32" s="6">
        <f>+SUM(P21:P31)</f>
        <v>35151.399999999994</v>
      </c>
      <c r="Q32" s="6">
        <f>+SUM(Q21:Q31)</f>
        <v>36104.300000000003</v>
      </c>
    </row>
    <row r="33" spans="1:17" x14ac:dyDescent="0.2">
      <c r="A33" s="1" t="s">
        <v>47</v>
      </c>
      <c r="M33" s="1">
        <v>1246.2</v>
      </c>
      <c r="N33" s="1">
        <v>1260.3</v>
      </c>
      <c r="O33" s="1">
        <v>1386.5</v>
      </c>
      <c r="P33" s="1">
        <v>1412.7</v>
      </c>
      <c r="Q33" s="1">
        <v>1345.5</v>
      </c>
    </row>
    <row r="34" spans="1:17" x14ac:dyDescent="0.2">
      <c r="A34" s="1" t="s">
        <v>48</v>
      </c>
      <c r="M34" s="1">
        <v>3103.8</v>
      </c>
      <c r="N34" s="1">
        <v>3227.4</v>
      </c>
      <c r="O34" s="1">
        <v>2777.4</v>
      </c>
      <c r="P34" s="1">
        <v>2897</v>
      </c>
      <c r="Q34" s="1">
        <v>3016.7</v>
      </c>
    </row>
    <row r="35" spans="1:17" x14ac:dyDescent="0.2">
      <c r="A35" s="1" t="s">
        <v>33</v>
      </c>
      <c r="M35" s="1">
        <v>5917.7</v>
      </c>
      <c r="N35" s="1">
        <v>5290.4</v>
      </c>
      <c r="O35" s="1">
        <v>5937.9</v>
      </c>
      <c r="P35" s="1">
        <v>5691</v>
      </c>
      <c r="Q35" s="1">
        <v>5917.7</v>
      </c>
    </row>
    <row r="36" spans="1:17" s="6" customFormat="1" x14ac:dyDescent="0.2">
      <c r="A36" s="6" t="s">
        <v>49</v>
      </c>
      <c r="M36" s="6">
        <f>+SUM(M33:M35)</f>
        <v>10267.700000000001</v>
      </c>
      <c r="N36" s="6">
        <f>+SUM(N33:N35)</f>
        <v>9778.0999999999985</v>
      </c>
      <c r="O36" s="6">
        <f>+SUM(O33:O35)</f>
        <v>10101.799999999999</v>
      </c>
      <c r="P36" s="6">
        <f>+SUM(P33:P35)</f>
        <v>10000.700000000001</v>
      </c>
      <c r="Q36" s="6">
        <f>+SUM(Q33:Q35)</f>
        <v>10279.9</v>
      </c>
    </row>
    <row r="37" spans="1:17" x14ac:dyDescent="0.2">
      <c r="A37" s="1" t="s">
        <v>50</v>
      </c>
      <c r="M37" s="1">
        <v>25824.400000000001</v>
      </c>
      <c r="N37" s="1">
        <v>23603.5</v>
      </c>
      <c r="O37" s="1">
        <v>24296.400000000001</v>
      </c>
      <c r="P37" s="1">
        <v>25150.7</v>
      </c>
      <c r="Q37" s="1">
        <v>25824.400000000001</v>
      </c>
    </row>
    <row r="38" spans="1:17" x14ac:dyDescent="0.2">
      <c r="A38" s="1" t="s">
        <v>51</v>
      </c>
      <c r="M38" s="1">
        <f>+M37+M36</f>
        <v>36092.100000000006</v>
      </c>
      <c r="N38" s="1">
        <f>+N37+N36</f>
        <v>33381.599999999999</v>
      </c>
      <c r="O38" s="1">
        <f>+O37+O36</f>
        <v>34398.199999999997</v>
      </c>
      <c r="P38" s="1">
        <f>+P37+P36</f>
        <v>35151.4</v>
      </c>
      <c r="Q38" s="1">
        <f>+Q37+Q36</f>
        <v>36104.300000000003</v>
      </c>
    </row>
    <row r="40" spans="1:17" x14ac:dyDescent="0.2">
      <c r="A40" s="1" t="s">
        <v>67</v>
      </c>
      <c r="N40" s="1">
        <f>+N9</f>
        <v>879.39999999999986</v>
      </c>
      <c r="O40" s="1">
        <f>+O9</f>
        <v>1107.5000000000007</v>
      </c>
      <c r="P40" s="1">
        <f>+P9</f>
        <v>1286.200000000001</v>
      </c>
    </row>
    <row r="41" spans="1:17" x14ac:dyDescent="0.2">
      <c r="A41" s="1" t="s">
        <v>68</v>
      </c>
      <c r="N41" s="1">
        <v>955.7</v>
      </c>
      <c r="O41" s="1">
        <f>2139.4-N41</f>
        <v>1183.7</v>
      </c>
      <c r="P41" s="1">
        <f>3506.2-SUM(N41:O41)</f>
        <v>1366.7999999999997</v>
      </c>
    </row>
    <row r="42" spans="1:17" x14ac:dyDescent="0.2">
      <c r="A42" s="1" t="s">
        <v>69</v>
      </c>
      <c r="N42" s="1">
        <v>20</v>
      </c>
      <c r="O42" s="1">
        <f>41.1-N42</f>
        <v>21.1</v>
      </c>
      <c r="P42" s="1">
        <f>63.5-SUM(N42:O42)</f>
        <v>22.4</v>
      </c>
    </row>
    <row r="43" spans="1:17" x14ac:dyDescent="0.2">
      <c r="A43" s="1" t="s">
        <v>70</v>
      </c>
      <c r="N43" s="1">
        <v>40.9</v>
      </c>
      <c r="O43" s="1">
        <f>65.9-N43</f>
        <v>25.000000000000007</v>
      </c>
      <c r="P43" s="1">
        <f>92.7-SUM(N43:O43)</f>
        <v>26.799999999999997</v>
      </c>
    </row>
    <row r="44" spans="1:17" x14ac:dyDescent="0.2">
      <c r="A44" s="1" t="s">
        <v>42</v>
      </c>
      <c r="N44" s="1">
        <v>11.3</v>
      </c>
      <c r="O44" s="1">
        <f>19.9-N44</f>
        <v>8.5999999999999979</v>
      </c>
      <c r="P44" s="1">
        <f>29.9-SUM(N44:O44)</f>
        <v>10</v>
      </c>
    </row>
    <row r="45" spans="1:17" x14ac:dyDescent="0.2">
      <c r="A45" s="1" t="s">
        <v>71</v>
      </c>
      <c r="N45" s="1">
        <v>6.1</v>
      </c>
      <c r="O45" s="1">
        <f>19.6-N45</f>
        <v>13.500000000000002</v>
      </c>
      <c r="P45" s="1">
        <f>34.4-SUM(N45:O45)</f>
        <v>14.799999999999997</v>
      </c>
    </row>
    <row r="46" spans="1:17" x14ac:dyDescent="0.2">
      <c r="A46" s="1" t="s">
        <v>72</v>
      </c>
      <c r="N46" s="1">
        <v>-466.4</v>
      </c>
      <c r="O46" s="1">
        <f>-709.1-N46</f>
        <v>-242.70000000000005</v>
      </c>
    </row>
    <row r="47" spans="1:17" x14ac:dyDescent="0.2">
      <c r="A47" s="1" t="s">
        <v>37</v>
      </c>
      <c r="N47" s="1">
        <v>-937.8</v>
      </c>
      <c r="O47" s="1">
        <f>-1371.1-N47</f>
        <v>-433.29999999999995</v>
      </c>
    </row>
    <row r="48" spans="1:17" x14ac:dyDescent="0.2">
      <c r="A48" s="1" t="s">
        <v>40</v>
      </c>
      <c r="N48" s="1">
        <v>-256.5</v>
      </c>
      <c r="O48" s="1">
        <f>-386.9-N48</f>
        <v>-130.39999999999998</v>
      </c>
    </row>
    <row r="49" spans="1:15" x14ac:dyDescent="0.2">
      <c r="A49" s="1" t="s">
        <v>44</v>
      </c>
      <c r="N49" s="1">
        <v>-130</v>
      </c>
      <c r="O49" s="1">
        <f>27.6-N49</f>
        <v>157.6</v>
      </c>
    </row>
    <row r="50" spans="1:15" x14ac:dyDescent="0.2">
      <c r="A50" s="1" t="s">
        <v>41</v>
      </c>
      <c r="N50" s="1">
        <v>475.8</v>
      </c>
      <c r="O50" s="1">
        <f>-152.5-N50</f>
        <v>-628.29999999999995</v>
      </c>
    </row>
    <row r="51" spans="1:15" x14ac:dyDescent="0.2">
      <c r="A51" s="1" t="s">
        <v>73</v>
      </c>
      <c r="N51" s="1">
        <v>127.5</v>
      </c>
      <c r="O51" s="1">
        <f>-164-N51</f>
        <v>-291.5</v>
      </c>
    </row>
    <row r="52" spans="1:15" s="6" customFormat="1" x14ac:dyDescent="0.2">
      <c r="A52" s="6" t="s">
        <v>74</v>
      </c>
      <c r="N52" s="6">
        <f>+SUM(N41:N51)</f>
        <v>-153.39999999999992</v>
      </c>
      <c r="O52" s="6">
        <f>+SUM(O41:O51)</f>
        <v>-316.70000000000005</v>
      </c>
    </row>
    <row r="54" spans="1:15" x14ac:dyDescent="0.2">
      <c r="A54" s="1" t="s">
        <v>75</v>
      </c>
      <c r="N54" s="1">
        <v>-47.6</v>
      </c>
      <c r="O54" s="1">
        <f>-71.3-N54</f>
        <v>-23.699999999999996</v>
      </c>
    </row>
    <row r="55" spans="1:15" x14ac:dyDescent="0.2">
      <c r="A55" s="1" t="s">
        <v>76</v>
      </c>
      <c r="N55" s="1">
        <v>9.9</v>
      </c>
      <c r="O55" s="1">
        <f>9.9-N55</f>
        <v>0</v>
      </c>
    </row>
    <row r="56" spans="1:15" x14ac:dyDescent="0.2">
      <c r="A56" s="1" t="s">
        <v>77</v>
      </c>
      <c r="N56" s="1">
        <v>-1</v>
      </c>
      <c r="O56" s="1">
        <f>-1-N56</f>
        <v>0</v>
      </c>
    </row>
    <row r="57" spans="1:15" x14ac:dyDescent="0.2">
      <c r="A57" s="1" t="s">
        <v>44</v>
      </c>
      <c r="N57" s="1">
        <v>-0.6</v>
      </c>
      <c r="O57" s="1">
        <f>-3.6-N57</f>
        <v>-3</v>
      </c>
    </row>
    <row r="58" spans="1:15" x14ac:dyDescent="0.2">
      <c r="A58" s="1" t="s">
        <v>78</v>
      </c>
      <c r="N58" s="1">
        <f>+SUM(N54:N57)</f>
        <v>-39.300000000000004</v>
      </c>
      <c r="O58" s="1">
        <f>+SUM(O54:O57)</f>
        <v>-26.699999999999996</v>
      </c>
    </row>
    <row r="60" spans="1:15" x14ac:dyDescent="0.2">
      <c r="A60" s="1" t="s">
        <v>33</v>
      </c>
      <c r="N60" s="1">
        <f>720-170</f>
        <v>550</v>
      </c>
      <c r="O60" s="1">
        <f>985-400-N60</f>
        <v>35</v>
      </c>
    </row>
    <row r="61" spans="1:15" x14ac:dyDescent="0.2">
      <c r="A61" s="1" t="s">
        <v>79</v>
      </c>
      <c r="N61" s="1">
        <v>-389.9</v>
      </c>
      <c r="O61" s="1">
        <f>214.4-N61</f>
        <v>604.29999999999995</v>
      </c>
    </row>
    <row r="62" spans="1:15" x14ac:dyDescent="0.2">
      <c r="A62" s="1" t="s">
        <v>80</v>
      </c>
      <c r="N62" s="1">
        <v>1.6</v>
      </c>
      <c r="O62" s="1">
        <f>12.2-N62</f>
        <v>10.6</v>
      </c>
    </row>
    <row r="63" spans="1:15" x14ac:dyDescent="0.2">
      <c r="A63" s="1" t="s">
        <v>81</v>
      </c>
      <c r="N63" s="1">
        <v>-37.5</v>
      </c>
      <c r="O63" s="1">
        <f>-81.6-N63</f>
        <v>-44.099999999999994</v>
      </c>
    </row>
    <row r="64" spans="1:15" x14ac:dyDescent="0.2">
      <c r="A64" s="1" t="s">
        <v>82</v>
      </c>
      <c r="N64" s="1">
        <v>-99.9</v>
      </c>
      <c r="O64" s="1">
        <f>-199.1-N64</f>
        <v>-99.199999999999989</v>
      </c>
    </row>
    <row r="65" spans="1:15" x14ac:dyDescent="0.2">
      <c r="A65" s="1" t="s">
        <v>83</v>
      </c>
      <c r="N65" s="1">
        <v>-376.9</v>
      </c>
      <c r="O65" s="1">
        <f>-794.5-N65</f>
        <v>-417.6</v>
      </c>
    </row>
    <row r="66" spans="1:15" x14ac:dyDescent="0.2">
      <c r="A66" s="1" t="s">
        <v>87</v>
      </c>
      <c r="O66" s="1">
        <v>19.7</v>
      </c>
    </row>
    <row r="67" spans="1:15" x14ac:dyDescent="0.2">
      <c r="A67" s="1" t="s">
        <v>44</v>
      </c>
      <c r="N67" s="1">
        <v>-10.199999999999999</v>
      </c>
      <c r="O67" s="1">
        <f>-26.7-N67</f>
        <v>-16.5</v>
      </c>
    </row>
    <row r="68" spans="1:15" x14ac:dyDescent="0.2">
      <c r="A68" s="1" t="s">
        <v>84</v>
      </c>
      <c r="N68" s="1">
        <f>+SUM(N60:N67)</f>
        <v>-362.79999999999995</v>
      </c>
      <c r="O68" s="1">
        <f>+SUM(O60:O67)</f>
        <v>92.199999999999946</v>
      </c>
    </row>
    <row r="70" spans="1:15" x14ac:dyDescent="0.2">
      <c r="A70" s="1" t="s">
        <v>85</v>
      </c>
      <c r="N70" s="1">
        <f>+N52+N58+N68</f>
        <v>-555.49999999999989</v>
      </c>
      <c r="O70" s="1">
        <f>+O52+O58+O68</f>
        <v>-251.2000000000001</v>
      </c>
    </row>
    <row r="71" spans="1:15" x14ac:dyDescent="0.2">
      <c r="A71" s="1" t="s">
        <v>86</v>
      </c>
      <c r="N71" s="1">
        <f>+N52+N54</f>
        <v>-200.99999999999991</v>
      </c>
      <c r="O71" s="1">
        <f>+O52+O54</f>
        <v>-340.40000000000003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2024-12-19T13:21:58Z</dcterms:created>
  <dcterms:modified xsi:type="dcterms:W3CDTF">2024-12-20T21:25:05Z</dcterms:modified>
</cp:coreProperties>
</file>