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8F338F36-AAFA-449A-AFB3-E069D7B15560}" xr6:coauthVersionLast="47" xr6:coauthVersionMax="47" xr10:uidLastSave="{00000000-0000-0000-0000-000000000000}"/>
  <bookViews>
    <workbookView xWindow="6000" yWindow="60" windowWidth="14235" windowHeight="15495" xr2:uid="{99315710-FD2C-43E9-8861-DD99E2FBE36E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9" i="1" s="1"/>
  <c r="L11" i="1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N4" i="2"/>
  <c r="R4" i="2"/>
  <c r="N5" i="2"/>
  <c r="R5" i="2"/>
  <c r="N6" i="2"/>
  <c r="R6" i="2"/>
  <c r="N7" i="2"/>
  <c r="R7" i="2"/>
  <c r="N8" i="2"/>
  <c r="R8" i="2"/>
  <c r="N10" i="2"/>
  <c r="R10" i="2"/>
  <c r="AJ10" i="2"/>
  <c r="AK10" i="2"/>
  <c r="AK15" i="2" s="1"/>
  <c r="AK32" i="2" s="1"/>
  <c r="AL10" i="2"/>
  <c r="AM10" i="2" s="1"/>
  <c r="N11" i="2"/>
  <c r="R11" i="2"/>
  <c r="AG11" i="2"/>
  <c r="AH11" i="2" s="1"/>
  <c r="N12" i="2"/>
  <c r="R12" i="2"/>
  <c r="AG12" i="2"/>
  <c r="AH12" i="2" s="1"/>
  <c r="AI12" i="2" s="1"/>
  <c r="AJ12" i="2" s="1"/>
  <c r="AK12" i="2" s="1"/>
  <c r="AL12" i="2" s="1"/>
  <c r="AM12" i="2" s="1"/>
  <c r="AN12" i="2" s="1"/>
  <c r="AO12" i="2" s="1"/>
  <c r="AP12" i="2" s="1"/>
  <c r="N13" i="2"/>
  <c r="R13" i="2"/>
  <c r="AG13" i="2"/>
  <c r="AH13" i="2" s="1"/>
  <c r="AI13" i="2" s="1"/>
  <c r="AJ13" i="2" s="1"/>
  <c r="AK13" i="2" s="1"/>
  <c r="AL13" i="2" s="1"/>
  <c r="AM13" i="2" s="1"/>
  <c r="AN13" i="2" s="1"/>
  <c r="AO13" i="2" s="1"/>
  <c r="AP13" i="2" s="1"/>
  <c r="N14" i="2"/>
  <c r="R14" i="2"/>
  <c r="AG14" i="2"/>
  <c r="AH14" i="2" s="1"/>
  <c r="AI14" i="2" s="1"/>
  <c r="AJ14" i="2" s="1"/>
  <c r="AK14" i="2" s="1"/>
  <c r="AL14" i="2" s="1"/>
  <c r="AM14" i="2" s="1"/>
  <c r="AN14" i="2" s="1"/>
  <c r="AO14" i="2" s="1"/>
  <c r="AP14" i="2" s="1"/>
  <c r="N15" i="2"/>
  <c r="R15" i="2"/>
  <c r="AG15" i="2"/>
  <c r="AH15" i="2"/>
  <c r="AI15" i="2"/>
  <c r="AJ15" i="2"/>
  <c r="AL15" i="2"/>
  <c r="AL32" i="2" s="1"/>
  <c r="N16" i="2"/>
  <c r="R16" i="2"/>
  <c r="AG16" i="2"/>
  <c r="AH16" i="2" s="1"/>
  <c r="AI16" i="2" s="1"/>
  <c r="AJ16" i="2" s="1"/>
  <c r="AK16" i="2" s="1"/>
  <c r="AL16" i="2" s="1"/>
  <c r="AM16" i="2" s="1"/>
  <c r="AN16" i="2" s="1"/>
  <c r="AO16" i="2" s="1"/>
  <c r="AP16" i="2" s="1"/>
  <c r="N17" i="2"/>
  <c r="R17" i="2"/>
  <c r="R18" i="2" s="1"/>
  <c r="R19" i="2" s="1"/>
  <c r="K18" i="2"/>
  <c r="L18" i="2"/>
  <c r="M18" i="2"/>
  <c r="N18" i="2"/>
  <c r="N19" i="2" s="1"/>
  <c r="O18" i="2"/>
  <c r="O19" i="2" s="1"/>
  <c r="P18" i="2"/>
  <c r="P19" i="2" s="1"/>
  <c r="Q18" i="2"/>
  <c r="Q19" i="2" s="1"/>
  <c r="V18" i="2"/>
  <c r="W18" i="2"/>
  <c r="X18" i="2"/>
  <c r="Y18" i="2"/>
  <c r="Z18" i="2"/>
  <c r="AA18" i="2"/>
  <c r="AB18" i="2"/>
  <c r="AC18" i="2"/>
  <c r="AC19" i="2" s="1"/>
  <c r="AD18" i="2"/>
  <c r="AD19" i="2" s="1"/>
  <c r="AE18" i="2"/>
  <c r="AE19" i="2" s="1"/>
  <c r="AF18" i="2"/>
  <c r="AF19" i="2" s="1"/>
  <c r="AG18" i="2"/>
  <c r="K19" i="2"/>
  <c r="K23" i="2" s="1"/>
  <c r="L19" i="2"/>
  <c r="L23" i="2" s="1"/>
  <c r="M19" i="2"/>
  <c r="V19" i="2"/>
  <c r="W19" i="2"/>
  <c r="X19" i="2"/>
  <c r="Y19" i="2"/>
  <c r="Y23" i="2" s="1"/>
  <c r="Z19" i="2"/>
  <c r="Z23" i="2" s="1"/>
  <c r="AA19" i="2"/>
  <c r="AA23" i="2" s="1"/>
  <c r="AB19" i="2"/>
  <c r="AG19" i="2"/>
  <c r="N20" i="2"/>
  <c r="R20" i="2"/>
  <c r="AG20" i="2"/>
  <c r="AH20" i="2" s="1"/>
  <c r="AI20" i="2" s="1"/>
  <c r="AJ20" i="2" s="1"/>
  <c r="AK20" i="2" s="1"/>
  <c r="AL20" i="2" s="1"/>
  <c r="AM20" i="2" s="1"/>
  <c r="AN20" i="2" s="1"/>
  <c r="AO20" i="2" s="1"/>
  <c r="AP20" i="2" s="1"/>
  <c r="N21" i="2"/>
  <c r="R21" i="2"/>
  <c r="AG21" i="2"/>
  <c r="AH21" i="2" s="1"/>
  <c r="AI21" i="2" s="1"/>
  <c r="AJ21" i="2" s="1"/>
  <c r="AK21" i="2" s="1"/>
  <c r="AL21" i="2" s="1"/>
  <c r="AM21" i="2" s="1"/>
  <c r="AN21" i="2" s="1"/>
  <c r="AO21" i="2" s="1"/>
  <c r="AP21" i="2" s="1"/>
  <c r="N22" i="2"/>
  <c r="R22" i="2"/>
  <c r="M23" i="2"/>
  <c r="V23" i="2"/>
  <c r="W23" i="2"/>
  <c r="X23" i="2"/>
  <c r="AB23" i="2"/>
  <c r="AG23" i="2"/>
  <c r="N24" i="2"/>
  <c r="R24" i="2"/>
  <c r="AG24" i="2"/>
  <c r="M25" i="2"/>
  <c r="V25" i="2"/>
  <c r="W25" i="2"/>
  <c r="X25" i="2"/>
  <c r="AB25" i="2"/>
  <c r="AG25" i="2"/>
  <c r="M26" i="2"/>
  <c r="V26" i="2"/>
  <c r="W26" i="2"/>
  <c r="X26" i="2"/>
  <c r="AB26" i="2"/>
  <c r="L27" i="2"/>
  <c r="M27" i="2"/>
  <c r="N27" i="2" s="1"/>
  <c r="P27" i="2"/>
  <c r="R27" i="2" s="1"/>
  <c r="Q27" i="2"/>
  <c r="AG27" i="2"/>
  <c r="AG26" i="2" s="1"/>
  <c r="AH27" i="2"/>
  <c r="AI27" i="2"/>
  <c r="AJ27" i="2"/>
  <c r="AK27" i="2" s="1"/>
  <c r="AL27" i="2" s="1"/>
  <c r="AM27" i="2" s="1"/>
  <c r="AN27" i="2" s="1"/>
  <c r="AO27" i="2" s="1"/>
  <c r="AP27" i="2" s="1"/>
  <c r="L29" i="2"/>
  <c r="M29" i="2"/>
  <c r="S29" i="2"/>
  <c r="V29" i="2"/>
  <c r="W29" i="2"/>
  <c r="X29" i="2"/>
  <c r="AA29" i="2"/>
  <c r="AB29" i="2"/>
  <c r="AG29" i="2"/>
  <c r="M30" i="2"/>
  <c r="S30" i="2"/>
  <c r="V30" i="2"/>
  <c r="W30" i="2"/>
  <c r="X30" i="2"/>
  <c r="AB30" i="2"/>
  <c r="AG30" i="2"/>
  <c r="M31" i="2"/>
  <c r="S31" i="2"/>
  <c r="V31" i="2"/>
  <c r="W31" i="2"/>
  <c r="X31" i="2"/>
  <c r="AB31" i="2"/>
  <c r="AG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K34" i="2"/>
  <c r="L34" i="2"/>
  <c r="M34" i="2"/>
  <c r="N34" i="2"/>
  <c r="O34" i="2"/>
  <c r="P34" i="2"/>
  <c r="Q34" i="2"/>
  <c r="R34" i="2"/>
  <c r="S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N38" i="2"/>
  <c r="N40" i="2" s="1"/>
  <c r="R38" i="2"/>
  <c r="R40" i="2" s="1"/>
  <c r="N39" i="2"/>
  <c r="R39" i="2"/>
  <c r="C40" i="2"/>
  <c r="D40" i="2"/>
  <c r="E40" i="2"/>
  <c r="F40" i="2"/>
  <c r="G40" i="2"/>
  <c r="H40" i="2"/>
  <c r="I40" i="2"/>
  <c r="J40" i="2"/>
  <c r="K40" i="2"/>
  <c r="L40" i="2"/>
  <c r="M40" i="2"/>
  <c r="O40" i="2"/>
  <c r="P40" i="2"/>
  <c r="Q40" i="2"/>
  <c r="V40" i="2"/>
  <c r="W40" i="2"/>
  <c r="X40" i="2"/>
  <c r="Y40" i="2"/>
  <c r="Z40" i="2"/>
  <c r="AA40" i="2"/>
  <c r="AB40" i="2"/>
  <c r="AC40" i="2"/>
  <c r="AD40" i="2"/>
  <c r="AE40" i="2"/>
  <c r="AF40" i="2"/>
  <c r="K31" i="2" l="1"/>
  <c r="K25" i="2"/>
  <c r="AE23" i="2"/>
  <c r="AE29" i="2"/>
  <c r="O29" i="2"/>
  <c r="O23" i="2"/>
  <c r="AA31" i="2"/>
  <c r="AA25" i="2"/>
  <c r="AD23" i="2"/>
  <c r="AD29" i="2"/>
  <c r="N23" i="2"/>
  <c r="N25" i="2" s="1"/>
  <c r="N29" i="2"/>
  <c r="P29" i="2"/>
  <c r="P23" i="2"/>
  <c r="Z25" i="2"/>
  <c r="Z31" i="2"/>
  <c r="AC29" i="2"/>
  <c r="AC23" i="2"/>
  <c r="AH18" i="2"/>
  <c r="AH19" i="2" s="1"/>
  <c r="AI11" i="2"/>
  <c r="AF29" i="2"/>
  <c r="AF23" i="2"/>
  <c r="Y31" i="2"/>
  <c r="Y25" i="2"/>
  <c r="Q23" i="2"/>
  <c r="Q29" i="2"/>
  <c r="R23" i="2"/>
  <c r="R29" i="2"/>
  <c r="AN10" i="2"/>
  <c r="AM15" i="2"/>
  <c r="AM32" i="2" s="1"/>
  <c r="AM34" i="2"/>
  <c r="L31" i="2"/>
  <c r="L25" i="2"/>
  <c r="Z29" i="2"/>
  <c r="Y29" i="2"/>
  <c r="K29" i="2"/>
  <c r="Y26" i="2" l="1"/>
  <c r="Y30" i="2"/>
  <c r="N30" i="2"/>
  <c r="P36" i="2"/>
  <c r="N26" i="2"/>
  <c r="AD25" i="2"/>
  <c r="AD31" i="2"/>
  <c r="AA30" i="2"/>
  <c r="AA26" i="2"/>
  <c r="L30" i="2"/>
  <c r="L26" i="2"/>
  <c r="O25" i="2"/>
  <c r="O31" i="2"/>
  <c r="AH23" i="2"/>
  <c r="AH29" i="2"/>
  <c r="AF31" i="2"/>
  <c r="AF25" i="2"/>
  <c r="N31" i="2"/>
  <c r="AI18" i="2"/>
  <c r="AI19" i="2" s="1"/>
  <c r="AJ11" i="2"/>
  <c r="AC25" i="2"/>
  <c r="AC31" i="2"/>
  <c r="R31" i="2"/>
  <c r="R25" i="2"/>
  <c r="Z30" i="2"/>
  <c r="Z26" i="2"/>
  <c r="AE25" i="2"/>
  <c r="AE31" i="2"/>
  <c r="Q25" i="2"/>
  <c r="Q31" i="2"/>
  <c r="AN15" i="2"/>
  <c r="AN32" i="2" s="1"/>
  <c r="AN34" i="2"/>
  <c r="AO10" i="2"/>
  <c r="P25" i="2"/>
  <c r="P31" i="2"/>
  <c r="N36" i="2"/>
  <c r="K26" i="2"/>
  <c r="K30" i="2"/>
  <c r="AJ18" i="2" l="1"/>
  <c r="AJ19" i="2" s="1"/>
  <c r="AK11" i="2"/>
  <c r="AO15" i="2"/>
  <c r="AO32" i="2" s="1"/>
  <c r="AO34" i="2"/>
  <c r="AP10" i="2"/>
  <c r="AD26" i="2"/>
  <c r="AD30" i="2"/>
  <c r="AE26" i="2"/>
  <c r="AE30" i="2"/>
  <c r="AC30" i="2"/>
  <c r="AC26" i="2"/>
  <c r="AI23" i="2"/>
  <c r="AI29" i="2"/>
  <c r="Q26" i="2"/>
  <c r="Q30" i="2"/>
  <c r="AF26" i="2"/>
  <c r="AF30" i="2"/>
  <c r="AH24" i="2"/>
  <c r="AH31" i="2" s="1"/>
  <c r="AH25" i="2"/>
  <c r="R26" i="2"/>
  <c r="R30" i="2"/>
  <c r="O26" i="2"/>
  <c r="O30" i="2"/>
  <c r="R36" i="2"/>
  <c r="Q36" i="2"/>
  <c r="P26" i="2"/>
  <c r="P30" i="2"/>
  <c r="O36" i="2"/>
  <c r="AP15" i="2" l="1"/>
  <c r="AP32" i="2" s="1"/>
  <c r="AP34" i="2"/>
  <c r="AL11" i="2"/>
  <c r="AK18" i="2"/>
  <c r="AK19" i="2" s="1"/>
  <c r="AH26" i="2"/>
  <c r="AH30" i="2"/>
  <c r="AI24" i="2"/>
  <c r="AI31" i="2" s="1"/>
  <c r="AI25" i="2"/>
  <c r="AJ23" i="2"/>
  <c r="AJ29" i="2"/>
  <c r="AJ24" i="2" l="1"/>
  <c r="AJ31" i="2" s="1"/>
  <c r="AJ25" i="2"/>
  <c r="AI30" i="2"/>
  <c r="AI26" i="2"/>
  <c r="AL18" i="2"/>
  <c r="AL19" i="2" s="1"/>
  <c r="AM11" i="2"/>
  <c r="AK23" i="2"/>
  <c r="AK29" i="2"/>
  <c r="AL23" i="2" l="1"/>
  <c r="AL29" i="2"/>
  <c r="AK24" i="2"/>
  <c r="AK31" i="2" s="1"/>
  <c r="AN11" i="2"/>
  <c r="AM18" i="2"/>
  <c r="AM19" i="2" s="1"/>
  <c r="AJ30" i="2"/>
  <c r="AJ26" i="2"/>
  <c r="AL24" i="2" l="1"/>
  <c r="AL31" i="2" s="1"/>
  <c r="AL25" i="2"/>
  <c r="AK25" i="2"/>
  <c r="AM23" i="2"/>
  <c r="AM29" i="2"/>
  <c r="AO11" i="2"/>
  <c r="AN18" i="2"/>
  <c r="AN19" i="2" s="1"/>
  <c r="AL30" i="2" l="1"/>
  <c r="AL26" i="2"/>
  <c r="AN23" i="2"/>
  <c r="AN29" i="2"/>
  <c r="AP11" i="2"/>
  <c r="AP18" i="2" s="1"/>
  <c r="AP19" i="2" s="1"/>
  <c r="AO18" i="2"/>
  <c r="AO19" i="2" s="1"/>
  <c r="AM24" i="2"/>
  <c r="AM31" i="2" s="1"/>
  <c r="AK26" i="2"/>
  <c r="AK30" i="2"/>
  <c r="AP29" i="2" l="1"/>
  <c r="AP23" i="2"/>
  <c r="AM25" i="2"/>
  <c r="AO29" i="2"/>
  <c r="AO23" i="2"/>
  <c r="AN24" i="2"/>
  <c r="AN31" i="2" s="1"/>
  <c r="AM30" i="2" l="1"/>
  <c r="AM26" i="2"/>
  <c r="AN25" i="2"/>
  <c r="AP25" i="2"/>
  <c r="AP24" i="2"/>
  <c r="AP31" i="2" s="1"/>
  <c r="AO24" i="2"/>
  <c r="AO31" i="2" s="1"/>
  <c r="AP26" i="2" l="1"/>
  <c r="AQ25" i="2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AP30" i="2"/>
  <c r="AO25" i="2"/>
  <c r="AN26" i="2"/>
  <c r="AN30" i="2"/>
  <c r="AO30" i="2" l="1"/>
  <c r="AO26" i="2"/>
  <c r="AS31" i="2"/>
  <c r="AS32" i="2" s="1"/>
  <c r="AS34" i="2" s="1"/>
</calcChain>
</file>

<file path=xl/sharedStrings.xml><?xml version="1.0" encoding="utf-8"?>
<sst xmlns="http://schemas.openxmlformats.org/spreadsheetml/2006/main" count="70" uniqueCount="65">
  <si>
    <t>FCF</t>
  </si>
  <si>
    <t>CapEx</t>
  </si>
  <si>
    <t>CFFO</t>
  </si>
  <si>
    <t>TTM NI</t>
  </si>
  <si>
    <t>Change</t>
  </si>
  <si>
    <t>Revenue y/y</t>
  </si>
  <si>
    <t>Current</t>
  </si>
  <si>
    <t>Share</t>
  </si>
  <si>
    <t>D&amp;A</t>
  </si>
  <si>
    <t>NPV</t>
  </si>
  <si>
    <t>Tax rate</t>
  </si>
  <si>
    <t>ROIC</t>
  </si>
  <si>
    <t>Net margin</t>
  </si>
  <si>
    <t>Discount</t>
  </si>
  <si>
    <t>Operating margin</t>
  </si>
  <si>
    <t>Terminal</t>
  </si>
  <si>
    <t>Shares</t>
  </si>
  <si>
    <t>EPS</t>
  </si>
  <si>
    <t>Net income</t>
  </si>
  <si>
    <t>Taxes</t>
  </si>
  <si>
    <t>Pretax</t>
  </si>
  <si>
    <t>Foreign-currency result</t>
  </si>
  <si>
    <t>Finance costs</t>
  </si>
  <si>
    <t>Interest</t>
  </si>
  <si>
    <t>Operating income</t>
  </si>
  <si>
    <t>Operating expense</t>
  </si>
  <si>
    <t>Investments</t>
  </si>
  <si>
    <t>Other operating expense</t>
  </si>
  <si>
    <t>Salaries</t>
  </si>
  <si>
    <t>Material expense</t>
  </si>
  <si>
    <t>Changes in inventories</t>
  </si>
  <si>
    <t>Other operating income</t>
  </si>
  <si>
    <t>Revenue</t>
  </si>
  <si>
    <t>Group Functions/Consolidation</t>
  </si>
  <si>
    <t>Post &amp; Parcel</t>
  </si>
  <si>
    <t>Ecommerce</t>
  </si>
  <si>
    <t>Supply Chain</t>
  </si>
  <si>
    <t>Global Forwarding, Freight</t>
  </si>
  <si>
    <t xml:space="preserve">Express </t>
  </si>
  <si>
    <t>Revenue segment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</si>
  <si>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</si>
  <si>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</si>
  <si>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</si>
  <si>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</si>
  <si>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</si>
  <si>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</si>
  <si>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</si>
  <si>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</si>
  <si>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</si>
  <si>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</si>
  <si>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</si>
  <si>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</si>
  <si>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</si>
  <si>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Q421</t>
  </si>
  <si>
    <t>Q321</t>
  </si>
  <si>
    <t>Q221</t>
  </si>
  <si>
    <t>Q121</t>
  </si>
  <si>
    <t>Main</t>
  </si>
  <si>
    <t>(EUR)</t>
  </si>
  <si>
    <t>DHL</t>
  </si>
  <si>
    <t>Price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</si>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</sst>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 applyAlignment="1">
      <alignment horizontal="right"/>
    </xf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3" fontId="0" fillId="2" borderId="0" xfId="0" applyNumberFormat="1" applyFill="1"/>
    <xf numFmtId="0" fontId="0" fillId="2" borderId="0" xfId="0" applyFill="1"/>
    <xf numFmtId="3" fontId="0" fillId="2" borderId="0" xfId="0" applyNumberFormat="1" applyFill="1" applyAlignment="1">
      <alignment horizontal="right"/>
    </xf>
    <xf numFmtId="3" fontId="1" fillId="2" borderId="0" xfId="0" applyNumberFormat="1" applyFont="1" applyFill="1" applyAlignment="1">
      <alignment horizontal="left"/>
    </xf>
    <xf numFmtId="3" fontId="2" fillId="0" borderId="0" xfId="1" applyNumberForma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9525</xdr:rowOff>
    </xdr:from>
    <xdr:to>
      <xdr:col>18</xdr:col>
      <xdr:colOff>19050</xdr:colOff>
      <xdr:row>52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8BC16E2-7C2A-4C6D-9E84-ED136E41FB1C}"/>
            </a:ext>
          </a:extLst>
        </xdr:cNvPr>
        <xdr:cNvCxnSpPr/>
      </xdr:nvCxnSpPr>
      <xdr:spPr>
        <a:xfrm>
          <a:off x="10991850" y="9525"/>
          <a:ext cx="0" cy="8420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28575</xdr:colOff>
      <xdr:row>0</xdr:row>
      <xdr:rowOff>28575</xdr:rowOff>
    </xdr:from>
    <xdr:to>
      <xdr:col>32</xdr:col>
      <xdr:colOff>28575</xdr:colOff>
      <xdr:row>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76FB892-DE00-42E2-9E44-60AF2C310D1D}"/>
            </a:ext>
          </a:extLst>
        </xdr:cNvPr>
        <xdr:cNvCxnSpPr/>
      </xdr:nvCxnSpPr>
      <xdr:spPr>
        <a:xfrm>
          <a:off x="19535775" y="28575"/>
          <a:ext cx="0" cy="8420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Transportation.xlsx" TargetMode="External"/><Relationship Id="rId1" Type="http://schemas.openxmlformats.org/officeDocument/2006/relationships/externalLinkPath" Target="Transpor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arcel Services"/>
    </sheetNames>
    <sheetDataSet>
      <sheetData sheetId="0">
        <row r="4">
          <cell r="C4">
            <v>109.66</v>
          </cell>
        </row>
        <row r="5">
          <cell r="K5">
            <v>1187.8515150000001</v>
          </cell>
        </row>
        <row r="7">
          <cell r="K7">
            <v>3619</v>
          </cell>
        </row>
        <row r="8">
          <cell r="K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C6A-309C-4582-998E-B91BD6C5AF8D}">
  <dimension ref="K2:M11"/>
  <sheetViews>
    <sheetView tabSelected="1" workbookViewId="0">
      <selection activeCell="I18" sqref="I18"/>
    </sheetView>
  </sheetViews>
  <sheetFormatPr defaultRowHeight="12.75" x14ac:dyDescent="0.2"/>
  <sheetData>
    <row r="2" spans="11:13" x14ac:dyDescent="0.2">
      <c r="K2" s="16" t="s">
        <v>58</v>
      </c>
    </row>
    <row r="3" spans="11:13" x14ac:dyDescent="0.2">
      <c r="K3" s="17" t="s">
        <v>59</v>
      </c>
    </row>
    <row r="4" spans="11:13" x14ac:dyDescent="0.2">
      <c r="K4" t="s">
        <v>60</v>
      </c>
      <c r="L4">
        <v>39.83</v>
      </c>
      <c r="M4" s="18"/>
    </row>
    <row r="5" spans="11:13" x14ac:dyDescent="0.2">
      <c r="K5" t="s">
        <v>16</v>
      </c>
      <c r="L5" s="1">
        <v>1187.8515150000001</v>
      </c>
      <c r="M5" s="18" t="s">
        <v>41</v>
      </c>
    </row>
    <row r="6" spans="11:13" x14ac:dyDescent="0.2">
      <c r="K6" t="s">
        <v>61</v>
      </c>
      <c r="L6" s="1">
        <f>+L4*L5</f>
        <v>47312.125842449997</v>
      </c>
      <c r="M6" s="7"/>
    </row>
    <row r="7" spans="11:13" x14ac:dyDescent="0.2">
      <c r="K7" t="s">
        <v>62</v>
      </c>
      <c r="L7" s="1">
        <v>3619</v>
      </c>
      <c r="M7" s="18" t="s">
        <v>41</v>
      </c>
    </row>
    <row r="8" spans="11:13" x14ac:dyDescent="0.2">
      <c r="K8" t="s">
        <v>63</v>
      </c>
      <c r="L8" s="1">
        <v>0</v>
      </c>
      <c r="M8" s="18" t="s">
        <v>41</v>
      </c>
    </row>
    <row r="9" spans="11:13" x14ac:dyDescent="0.2">
      <c r="K9" t="s">
        <v>64</v>
      </c>
      <c r="L9" s="1">
        <f>+L6-L7+L8</f>
        <v>43693.125842449997</v>
      </c>
      <c r="M9" s="1"/>
    </row>
    <row r="10" spans="11:13" x14ac:dyDescent="0.2">
      <c r="L10" s="1">
        <v>3569</v>
      </c>
    </row>
    <row r="11" spans="11:13" x14ac:dyDescent="0.2">
      <c r="L11" s="19">
        <f>+L9/L10</f>
        <v>12.242400067932193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3A7-CCD7-4F90-BF20-951513CDC9EF}">
  <dimension ref="A1:EM40"/>
  <sheetViews>
    <sheetView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M41" sqref="AM41"/>
    </sheetView>
  </sheetViews>
  <sheetFormatPr defaultRowHeight="12.75" x14ac:dyDescent="0.2"/>
  <cols>
    <col min="1" max="1" width="5" style="1" bestFit="1" customWidth="1"/>
    <col min="2" max="2" width="20.5703125" style="1" bestFit="1" customWidth="1"/>
    <col min="3" max="44" width="9.140625" style="1"/>
    <col min="45" max="45" width="10.7109375" style="1" bestFit="1" customWidth="1"/>
    <col min="46" max="16384" width="9.140625" style="1"/>
  </cols>
  <sheetData>
    <row r="1" spans="1:42" x14ac:dyDescent="0.2">
      <c r="A1" s="15" t="s">
        <v>57</v>
      </c>
    </row>
    <row r="2" spans="1:42" x14ac:dyDescent="0.2">
      <c r="B2" s="7"/>
      <c r="C2" s="7" t="s">
        <v>56</v>
      </c>
      <c r="D2" s="7" t="s">
        <v>55</v>
      </c>
      <c r="E2" s="7" t="s">
        <v>54</v>
      </c>
      <c r="F2" s="7" t="s">
        <v>53</v>
      </c>
      <c r="G2" s="7" t="s">
        <v>52</v>
      </c>
      <c r="H2" s="7" t="s">
        <v>51</v>
      </c>
      <c r="I2" s="7" t="s">
        <v>50</v>
      </c>
      <c r="J2" s="7" t="s">
        <v>49</v>
      </c>
      <c r="K2" s="7" t="s">
        <v>48</v>
      </c>
      <c r="L2" s="7" t="s">
        <v>47</v>
      </c>
      <c r="M2" s="7" t="s">
        <v>46</v>
      </c>
      <c r="N2" s="7" t="s">
        <v>45</v>
      </c>
      <c r="O2" s="7" t="s">
        <v>44</v>
      </c>
      <c r="P2" s="7" t="s">
        <v>43</v>
      </c>
      <c r="Q2" s="7" t="s">
        <v>42</v>
      </c>
      <c r="R2" s="7" t="s">
        <v>41</v>
      </c>
      <c r="S2" s="7" t="s">
        <v>40</v>
      </c>
      <c r="T2" s="7"/>
      <c r="V2">
        <v>2014</v>
      </c>
      <c r="W2">
        <f>+V2+1</f>
        <v>2015</v>
      </c>
      <c r="X2">
        <f>+W2+1</f>
        <v>2016</v>
      </c>
      <c r="Y2">
        <f>+X2+1</f>
        <v>2017</v>
      </c>
      <c r="Z2">
        <f>+Y2+1</f>
        <v>2018</v>
      </c>
      <c r="AA2">
        <f>+Z2+1</f>
        <v>2019</v>
      </c>
      <c r="AB2">
        <f>+AA2+1</f>
        <v>2020</v>
      </c>
      <c r="AC2">
        <f>+AB2+1</f>
        <v>2021</v>
      </c>
      <c r="AD2">
        <f>+AC2+1</f>
        <v>2022</v>
      </c>
      <c r="AE2">
        <f>+AD2+1</f>
        <v>2023</v>
      </c>
      <c r="AF2">
        <f>+AE2+1</f>
        <v>2024</v>
      </c>
      <c r="AG2">
        <f>+AF2+1</f>
        <v>2025</v>
      </c>
      <c r="AH2">
        <f>+AG2+1</f>
        <v>2026</v>
      </c>
      <c r="AI2">
        <f>+AH2+1</f>
        <v>2027</v>
      </c>
      <c r="AJ2">
        <f>+AI2+1</f>
        <v>2028</v>
      </c>
      <c r="AK2">
        <f>+AJ2+1</f>
        <v>2029</v>
      </c>
      <c r="AL2">
        <f>+AK2+1</f>
        <v>2030</v>
      </c>
      <c r="AM2">
        <f>+AL2+1</f>
        <v>2031</v>
      </c>
      <c r="AN2">
        <f>+AM2+1</f>
        <v>2032</v>
      </c>
      <c r="AO2">
        <f>+AN2+1</f>
        <v>2033</v>
      </c>
      <c r="AP2">
        <f>+AO2+1</f>
        <v>2034</v>
      </c>
    </row>
    <row r="3" spans="1:42" s="11" customFormat="1" x14ac:dyDescent="0.2">
      <c r="B3" s="14" t="s">
        <v>39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2">
      <c r="B4" s="10" t="s">
        <v>38</v>
      </c>
      <c r="C4" s="7"/>
      <c r="D4" s="7"/>
      <c r="E4" s="7"/>
      <c r="F4" s="7"/>
      <c r="G4" s="7"/>
      <c r="H4" s="7"/>
      <c r="I4" s="7"/>
      <c r="J4" s="7"/>
      <c r="K4" s="7">
        <v>6281</v>
      </c>
      <c r="L4" s="7">
        <v>6122</v>
      </c>
      <c r="M4" s="7">
        <v>5885</v>
      </c>
      <c r="N4" s="7">
        <f>+AE4-SUM(K4:M4)</f>
        <v>6034</v>
      </c>
      <c r="O4" s="7">
        <v>6006</v>
      </c>
      <c r="P4" s="7">
        <v>6220</v>
      </c>
      <c r="Q4" s="7">
        <v>6063</v>
      </c>
      <c r="R4" s="7">
        <f>+AF4-SUM(O4:Q4)</f>
        <v>6222</v>
      </c>
      <c r="S4" s="7">
        <v>6091</v>
      </c>
      <c r="T4" s="7"/>
      <c r="AE4" s="1">
        <v>24322</v>
      </c>
      <c r="AF4" s="1">
        <v>24511</v>
      </c>
      <c r="AG4" s="1">
        <v>25918</v>
      </c>
      <c r="AH4" s="1">
        <v>27059</v>
      </c>
      <c r="AI4" s="1">
        <v>28364</v>
      </c>
    </row>
    <row r="5" spans="1:42" x14ac:dyDescent="0.2">
      <c r="B5" s="10" t="s">
        <v>37</v>
      </c>
      <c r="C5" s="7"/>
      <c r="D5" s="7"/>
      <c r="E5" s="7"/>
      <c r="F5" s="7"/>
      <c r="G5" s="7"/>
      <c r="H5" s="7"/>
      <c r="I5" s="7"/>
      <c r="J5" s="7"/>
      <c r="K5" s="7">
        <v>5484</v>
      </c>
      <c r="L5" s="7">
        <v>4839</v>
      </c>
      <c r="M5" s="7">
        <v>4417</v>
      </c>
      <c r="N5" s="7">
        <f>+AE5-SUM(K5:M5)</f>
        <v>3291</v>
      </c>
      <c r="O5" s="7">
        <v>4617</v>
      </c>
      <c r="P5" s="7">
        <v>4880</v>
      </c>
      <c r="Q5" s="7">
        <v>5037</v>
      </c>
      <c r="R5" s="7">
        <f>+AF5-SUM(O5:Q5)</f>
        <v>3869</v>
      </c>
      <c r="S5" s="7">
        <v>4710</v>
      </c>
      <c r="T5" s="7"/>
      <c r="AE5" s="1">
        <v>18031</v>
      </c>
      <c r="AF5" s="1">
        <v>18403</v>
      </c>
      <c r="AG5" s="1">
        <v>19503</v>
      </c>
      <c r="AH5" s="1">
        <v>19759</v>
      </c>
      <c r="AI5" s="1">
        <v>20371</v>
      </c>
    </row>
    <row r="6" spans="1:42" x14ac:dyDescent="0.2">
      <c r="B6" s="10" t="s">
        <v>36</v>
      </c>
      <c r="C6" s="7"/>
      <c r="D6" s="7"/>
      <c r="E6" s="7"/>
      <c r="F6" s="7"/>
      <c r="G6" s="7"/>
      <c r="H6" s="7"/>
      <c r="I6" s="7"/>
      <c r="J6" s="7"/>
      <c r="K6" s="7">
        <v>4107</v>
      </c>
      <c r="L6" s="7">
        <v>4232</v>
      </c>
      <c r="M6" s="7">
        <v>4258</v>
      </c>
      <c r="N6" s="7">
        <f>+AE6-SUM(K6:M6)</f>
        <v>4217</v>
      </c>
      <c r="O6" s="7">
        <v>4333</v>
      </c>
      <c r="P6" s="7">
        <v>4352</v>
      </c>
      <c r="Q6" s="7">
        <v>4427</v>
      </c>
      <c r="R6" s="7">
        <f>+AF6-SUM(O6:Q6)</f>
        <v>4472</v>
      </c>
      <c r="S6" s="7">
        <v>4498</v>
      </c>
      <c r="T6" s="7"/>
      <c r="AE6" s="1">
        <v>16814</v>
      </c>
      <c r="AF6" s="1">
        <v>17584</v>
      </c>
      <c r="AG6" s="1">
        <v>18415</v>
      </c>
      <c r="AH6" s="1">
        <v>19157</v>
      </c>
      <c r="AI6" s="1">
        <v>19989</v>
      </c>
    </row>
    <row r="7" spans="1:42" x14ac:dyDescent="0.2">
      <c r="B7" s="10" t="s">
        <v>35</v>
      </c>
      <c r="C7" s="7"/>
      <c r="D7" s="7"/>
      <c r="E7" s="7"/>
      <c r="F7" s="7"/>
      <c r="G7" s="7"/>
      <c r="H7" s="7"/>
      <c r="I7" s="7"/>
      <c r="J7" s="7"/>
      <c r="K7" s="7">
        <v>1505</v>
      </c>
      <c r="L7" s="7">
        <v>1508</v>
      </c>
      <c r="M7" s="7">
        <v>1477</v>
      </c>
      <c r="N7" s="7">
        <f>+AE7-SUM(K7:M7)</f>
        <v>1684</v>
      </c>
      <c r="O7" s="7">
        <v>1633</v>
      </c>
      <c r="P7" s="7">
        <v>1667</v>
      </c>
      <c r="Q7" s="7">
        <v>1645</v>
      </c>
      <c r="R7" s="7">
        <f>+AF7-SUM(O7:Q7)</f>
        <v>1842</v>
      </c>
      <c r="S7" s="7">
        <v>1717</v>
      </c>
      <c r="T7" s="7"/>
      <c r="AE7" s="1">
        <v>6174</v>
      </c>
      <c r="AF7" s="1">
        <v>6787</v>
      </c>
      <c r="AG7" s="1">
        <v>7325</v>
      </c>
      <c r="AH7" s="1">
        <v>7706</v>
      </c>
      <c r="AI7" s="1">
        <v>8109</v>
      </c>
    </row>
    <row r="8" spans="1:42" x14ac:dyDescent="0.2">
      <c r="B8" s="10" t="s">
        <v>34</v>
      </c>
      <c r="C8" s="7"/>
      <c r="D8" s="7"/>
      <c r="E8" s="7"/>
      <c r="F8" s="7"/>
      <c r="G8" s="7"/>
      <c r="H8" s="7"/>
      <c r="I8" s="7"/>
      <c r="J8" s="7"/>
      <c r="K8" s="7">
        <v>4198</v>
      </c>
      <c r="L8" s="7">
        <v>3996</v>
      </c>
      <c r="M8" s="1">
        <v>3959</v>
      </c>
      <c r="N8" s="7">
        <f>+AE8-SUM(K8:M8)</f>
        <v>4249</v>
      </c>
      <c r="O8" s="7">
        <v>4266</v>
      </c>
      <c r="P8" s="7">
        <v>4160</v>
      </c>
      <c r="Q8" s="7">
        <v>4053</v>
      </c>
      <c r="R8" s="7">
        <f>+AF8-SUM(O8:Q8)</f>
        <v>4414</v>
      </c>
      <c r="S8" s="7">
        <v>4383</v>
      </c>
      <c r="T8" s="7"/>
      <c r="AE8" s="1">
        <v>16402</v>
      </c>
      <c r="AF8" s="1">
        <v>16893</v>
      </c>
      <c r="AG8" s="1">
        <v>17960</v>
      </c>
      <c r="AH8" s="1">
        <v>18388</v>
      </c>
      <c r="AI8" s="1">
        <v>18930</v>
      </c>
    </row>
    <row r="9" spans="1:42" x14ac:dyDescent="0.2">
      <c r="B9" s="10" t="s">
        <v>33</v>
      </c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>
        <v>-626</v>
      </c>
      <c r="T9" s="7"/>
      <c r="AE9" s="1">
        <v>15</v>
      </c>
      <c r="AF9" s="1">
        <v>8</v>
      </c>
      <c r="AG9" s="1">
        <v>-2643</v>
      </c>
      <c r="AH9" s="1">
        <v>-2689</v>
      </c>
      <c r="AI9" s="1">
        <v>-2744</v>
      </c>
    </row>
    <row r="10" spans="1:42" s="6" customFormat="1" x14ac:dyDescent="0.2">
      <c r="B10" s="6" t="s">
        <v>32</v>
      </c>
      <c r="K10" s="6">
        <v>20918</v>
      </c>
      <c r="L10" s="6">
        <v>20094</v>
      </c>
      <c r="M10" s="6">
        <v>19398</v>
      </c>
      <c r="N10" s="6">
        <f>+AE10-SUM(K10:M10)</f>
        <v>21348</v>
      </c>
      <c r="O10" s="6">
        <v>20251</v>
      </c>
      <c r="P10" s="6">
        <v>20639</v>
      </c>
      <c r="Q10" s="6">
        <v>20592</v>
      </c>
      <c r="R10" s="9">
        <f>+AF10-SUM(O10:Q10)</f>
        <v>22704</v>
      </c>
      <c r="S10" s="9">
        <v>20789</v>
      </c>
      <c r="T10" s="9"/>
      <c r="U10" s="8"/>
      <c r="V10" s="6">
        <v>56630</v>
      </c>
      <c r="W10" s="6">
        <v>59230</v>
      </c>
      <c r="X10" s="6">
        <v>57334</v>
      </c>
      <c r="Y10" s="6">
        <v>60444</v>
      </c>
      <c r="Z10" s="6">
        <v>61550</v>
      </c>
      <c r="AA10" s="6">
        <v>63341</v>
      </c>
      <c r="AB10" s="6">
        <v>66716</v>
      </c>
      <c r="AC10" s="6">
        <v>81747</v>
      </c>
      <c r="AD10" s="6">
        <v>94436</v>
      </c>
      <c r="AE10" s="6">
        <v>81758</v>
      </c>
      <c r="AF10" s="6">
        <v>84186</v>
      </c>
      <c r="AG10" s="6">
        <v>86256</v>
      </c>
      <c r="AH10" s="6">
        <v>89412</v>
      </c>
      <c r="AI10" s="6">
        <v>92584</v>
      </c>
      <c r="AJ10" s="6">
        <f>+AI10*1.037</f>
        <v>96009.607999999993</v>
      </c>
      <c r="AK10" s="6">
        <f>+AJ10*1.037</f>
        <v>99561.963495999982</v>
      </c>
      <c r="AL10" s="6">
        <f>+AK10*1.037</f>
        <v>103245.75614535197</v>
      </c>
      <c r="AM10" s="6">
        <f>+AL10*1.037</f>
        <v>107065.84912272998</v>
      </c>
      <c r="AN10" s="6">
        <f>+AM10*1.037</f>
        <v>111027.28554027098</v>
      </c>
      <c r="AO10" s="6">
        <f>+AN10*1.037</f>
        <v>115135.295105261</v>
      </c>
      <c r="AP10" s="6">
        <f>+AO10*1.037</f>
        <v>119395.30102415565</v>
      </c>
    </row>
    <row r="11" spans="1:42" x14ac:dyDescent="0.2">
      <c r="B11" s="1" t="s">
        <v>31</v>
      </c>
      <c r="K11" s="1">
        <v>-601</v>
      </c>
      <c r="L11" s="1">
        <v>-698</v>
      </c>
      <c r="M11" s="1">
        <v>-753</v>
      </c>
      <c r="N11" s="1">
        <f>+AE11-SUM(K11:M11)</f>
        <v>-735</v>
      </c>
      <c r="O11" s="1">
        <v>-625</v>
      </c>
      <c r="P11" s="1">
        <v>-607</v>
      </c>
      <c r="Q11" s="1">
        <v>-730</v>
      </c>
      <c r="R11" s="7">
        <f>+AF11-SUM(O11:Q11)</f>
        <v>-822</v>
      </c>
      <c r="S11" s="7"/>
      <c r="T11" s="7"/>
      <c r="U11" s="5"/>
      <c r="V11" s="1">
        <v>-2016</v>
      </c>
      <c r="W11" s="1">
        <v>-2394</v>
      </c>
      <c r="X11" s="1">
        <v>-2156</v>
      </c>
      <c r="Y11" s="1">
        <v>-2139</v>
      </c>
      <c r="Z11" s="1">
        <v>-1914</v>
      </c>
      <c r="AA11" s="1">
        <v>-2351</v>
      </c>
      <c r="AB11" s="1">
        <v>-2095</v>
      </c>
      <c r="AC11" s="1">
        <v>-2291</v>
      </c>
      <c r="AD11" s="1">
        <v>-2925</v>
      </c>
      <c r="AE11" s="1">
        <v>-2787</v>
      </c>
      <c r="AF11" s="1">
        <v>-2784</v>
      </c>
      <c r="AG11" s="1">
        <f>+AF11*1.03</f>
        <v>-2867.52</v>
      </c>
      <c r="AH11" s="1">
        <f>+AG11*1.03</f>
        <v>-2953.5455999999999</v>
      </c>
      <c r="AI11" s="1">
        <f>+AH11*1.03</f>
        <v>-3042.1519680000001</v>
      </c>
      <c r="AJ11" s="1">
        <f>+AI11*1.03</f>
        <v>-3133.4165270400003</v>
      </c>
      <c r="AK11" s="1">
        <f>+AJ11*1.03</f>
        <v>-3227.4190228512002</v>
      </c>
      <c r="AL11" s="1">
        <f>+AK11*1.03</f>
        <v>-3324.2415935367362</v>
      </c>
      <c r="AM11" s="1">
        <f>+AL11*1.03</f>
        <v>-3423.9688413428385</v>
      </c>
      <c r="AN11" s="1">
        <f>+AM11*1.03</f>
        <v>-3526.6879065831235</v>
      </c>
      <c r="AO11" s="1">
        <f>+AN11*1.03</f>
        <v>-3632.4885437806174</v>
      </c>
      <c r="AP11" s="1">
        <f>+AO11*1.03</f>
        <v>-3741.463200094036</v>
      </c>
    </row>
    <row r="12" spans="1:42" x14ac:dyDescent="0.2">
      <c r="B12" s="1" t="s">
        <v>30</v>
      </c>
      <c r="K12" s="1">
        <v>-114</v>
      </c>
      <c r="L12" s="1">
        <v>-69</v>
      </c>
      <c r="M12" s="1">
        <v>-68</v>
      </c>
      <c r="N12" s="1">
        <f>+AE12-SUM(K12:M12)</f>
        <v>86</v>
      </c>
      <c r="O12" s="1">
        <v>-37</v>
      </c>
      <c r="P12" s="1">
        <v>-48</v>
      </c>
      <c r="Q12" s="1">
        <v>-21</v>
      </c>
      <c r="R12" s="7">
        <f>+AF12-SUM(O12:Q12)</f>
        <v>-124</v>
      </c>
      <c r="S12" s="7"/>
      <c r="T12" s="7"/>
      <c r="U12" s="5"/>
      <c r="Z12" s="1">
        <v>-87</v>
      </c>
      <c r="AA12" s="1">
        <v>-239</v>
      </c>
      <c r="AB12" s="1">
        <v>-292</v>
      </c>
      <c r="AC12" s="1">
        <v>-348</v>
      </c>
      <c r="AD12" s="1">
        <v>-511</v>
      </c>
      <c r="AE12" s="1">
        <v>-165</v>
      </c>
      <c r="AF12" s="1">
        <v>-230</v>
      </c>
      <c r="AG12" s="1">
        <f>+AF12*1.149</f>
        <v>-264.27</v>
      </c>
      <c r="AH12" s="1">
        <f>+AG12*1.149</f>
        <v>-303.64623</v>
      </c>
      <c r="AI12" s="1">
        <f>+AH12*1.149</f>
        <v>-348.88951827</v>
      </c>
      <c r="AJ12" s="1">
        <f>+AI12*1.149</f>
        <v>-400.87405649223001</v>
      </c>
      <c r="AK12" s="1">
        <f>+AJ12*1.149</f>
        <v>-460.60429090957228</v>
      </c>
      <c r="AL12" s="1">
        <f>+AK12*1.149</f>
        <v>-529.2343302550986</v>
      </c>
      <c r="AM12" s="1">
        <f>+AL12*1.149</f>
        <v>-608.09024546310832</v>
      </c>
      <c r="AN12" s="1">
        <f>+AM12*1.149</f>
        <v>-698.69569203711148</v>
      </c>
      <c r="AO12" s="1">
        <f>+AN12*1.149</f>
        <v>-802.80135015064116</v>
      </c>
      <c r="AP12" s="1">
        <f>+AO12*1.149</f>
        <v>-922.41875132308667</v>
      </c>
    </row>
    <row r="13" spans="1:42" x14ac:dyDescent="0.2">
      <c r="B13" s="1" t="s">
        <v>29</v>
      </c>
      <c r="K13" s="1">
        <v>10894</v>
      </c>
      <c r="L13" s="1">
        <v>10041</v>
      </c>
      <c r="M13" s="1">
        <v>9921</v>
      </c>
      <c r="N13" s="1">
        <f>+AE13-SUM(K13:M13)</f>
        <v>10807</v>
      </c>
      <c r="O13" s="1">
        <v>10185</v>
      </c>
      <c r="P13" s="1">
        <v>10364</v>
      </c>
      <c r="Q13" s="1">
        <v>10673</v>
      </c>
      <c r="R13" s="7">
        <f>+AF13-SUM(O13:Q13)</f>
        <v>11544</v>
      </c>
      <c r="S13" s="7"/>
      <c r="T13" s="7"/>
      <c r="U13" s="5"/>
      <c r="V13" s="1">
        <v>32042</v>
      </c>
      <c r="W13" s="1">
        <v>33170</v>
      </c>
      <c r="X13" s="1">
        <v>30620</v>
      </c>
      <c r="Y13" s="1">
        <v>32775</v>
      </c>
      <c r="Z13" s="1">
        <v>31673</v>
      </c>
      <c r="AA13" s="1">
        <v>32070</v>
      </c>
      <c r="AB13" s="1">
        <v>33704</v>
      </c>
      <c r="AC13" s="1">
        <v>43897</v>
      </c>
      <c r="AD13" s="1">
        <v>53473</v>
      </c>
      <c r="AE13" s="1">
        <v>41663</v>
      </c>
      <c r="AF13" s="1">
        <v>42766</v>
      </c>
      <c r="AG13" s="1">
        <f>+AF13*1.027</f>
        <v>43920.681999999993</v>
      </c>
      <c r="AH13" s="1">
        <f>+AG13*1.027</f>
        <v>45106.540413999988</v>
      </c>
      <c r="AI13" s="1">
        <f>+AH13*1.027</f>
        <v>46324.417005177987</v>
      </c>
      <c r="AJ13" s="1">
        <f>+AI13*1.027</f>
        <v>47575.176264317786</v>
      </c>
      <c r="AK13" s="1">
        <f>+AJ13*1.027</f>
        <v>48859.706023454361</v>
      </c>
      <c r="AL13" s="1">
        <f>+AK13*1.027</f>
        <v>50178.918086087622</v>
      </c>
      <c r="AM13" s="1">
        <f>+AL13*1.027</f>
        <v>51533.748874411984</v>
      </c>
      <c r="AN13" s="1">
        <f>+AM13*1.027</f>
        <v>52925.160094021099</v>
      </c>
      <c r="AO13" s="1">
        <f>+AN13*1.027</f>
        <v>54354.139416559665</v>
      </c>
      <c r="AP13" s="1">
        <f>+AO13*1.027</f>
        <v>55821.701180806769</v>
      </c>
    </row>
    <row r="14" spans="1:42" x14ac:dyDescent="0.2">
      <c r="B14" s="1" t="s">
        <v>28</v>
      </c>
      <c r="K14" s="1">
        <v>6736</v>
      </c>
      <c r="L14" s="1">
        <v>6747</v>
      </c>
      <c r="M14" s="1">
        <v>6494</v>
      </c>
      <c r="N14" s="1">
        <f>+AE14-SUM(K14:M14)</f>
        <v>7000</v>
      </c>
      <c r="O14" s="1">
        <v>7010</v>
      </c>
      <c r="P14" s="1">
        <v>7103</v>
      </c>
      <c r="Q14" s="1">
        <v>6819</v>
      </c>
      <c r="R14" s="7">
        <f>+AF14-SUM(O14:Q14)</f>
        <v>7373</v>
      </c>
      <c r="S14" s="7"/>
      <c r="T14" s="7"/>
      <c r="U14" s="5"/>
      <c r="V14" s="1">
        <v>18189</v>
      </c>
      <c r="W14" s="1">
        <v>19640</v>
      </c>
      <c r="X14" s="1">
        <v>19592</v>
      </c>
      <c r="Y14" s="1">
        <v>20072</v>
      </c>
      <c r="Z14" s="1">
        <v>20825</v>
      </c>
      <c r="AA14" s="1">
        <v>21610</v>
      </c>
      <c r="AB14" s="1">
        <v>22234</v>
      </c>
      <c r="AC14" s="1">
        <v>23879</v>
      </c>
      <c r="AD14" s="1">
        <v>26035</v>
      </c>
      <c r="AE14" s="1">
        <v>26977</v>
      </c>
      <c r="AF14" s="1">
        <v>28305</v>
      </c>
      <c r="AG14" s="1">
        <f>+AF14*1.041</f>
        <v>29465.504999999997</v>
      </c>
      <c r="AH14" s="1">
        <f>+AG14*1.041</f>
        <v>30673.590704999995</v>
      </c>
      <c r="AI14" s="1">
        <f>+AH14*1.041</f>
        <v>31931.207923904993</v>
      </c>
      <c r="AJ14" s="1">
        <f>+AI14*1.041</f>
        <v>33240.387448785092</v>
      </c>
      <c r="AK14" s="1">
        <f>+AJ14*1.041</f>
        <v>34603.243334185281</v>
      </c>
      <c r="AL14" s="1">
        <f>+AK14*1.041</f>
        <v>36021.976310886872</v>
      </c>
      <c r="AM14" s="1">
        <f>+AL14*1.041</f>
        <v>37498.877339633233</v>
      </c>
      <c r="AN14" s="1">
        <f>+AM14*1.041</f>
        <v>39036.331310558191</v>
      </c>
      <c r="AO14" s="1">
        <f>+AN14*1.041</f>
        <v>40636.820894291071</v>
      </c>
      <c r="AP14" s="1">
        <f>+AO14*1.041</f>
        <v>42302.930550957004</v>
      </c>
    </row>
    <row r="15" spans="1:42" x14ac:dyDescent="0.2">
      <c r="B15" s="1" t="s">
        <v>8</v>
      </c>
      <c r="K15" s="1">
        <v>1071</v>
      </c>
      <c r="L15" s="1">
        <v>1084</v>
      </c>
      <c r="M15" s="1">
        <v>1118</v>
      </c>
      <c r="N15" s="1">
        <f>+AE15-SUM(K15:M15)</f>
        <v>1206</v>
      </c>
      <c r="O15" s="1">
        <v>1151</v>
      </c>
      <c r="P15" s="1">
        <v>1166</v>
      </c>
      <c r="Q15" s="1">
        <v>1154</v>
      </c>
      <c r="R15" s="7">
        <f>+AF15-SUM(O15:Q15)</f>
        <v>1249</v>
      </c>
      <c r="S15" s="7"/>
      <c r="T15" s="7"/>
      <c r="U15" s="5"/>
      <c r="V15" s="1">
        <v>1381</v>
      </c>
      <c r="W15" s="1">
        <v>1665</v>
      </c>
      <c r="X15" s="1">
        <v>1377</v>
      </c>
      <c r="Y15" s="1">
        <v>1471</v>
      </c>
      <c r="Z15" s="1">
        <v>3292</v>
      </c>
      <c r="AA15" s="1">
        <v>3684</v>
      </c>
      <c r="AB15" s="1">
        <v>3830</v>
      </c>
      <c r="AC15" s="1">
        <v>3768</v>
      </c>
      <c r="AD15" s="1">
        <v>4177</v>
      </c>
      <c r="AE15" s="1">
        <v>4479</v>
      </c>
      <c r="AF15" s="1">
        <v>4720</v>
      </c>
      <c r="AG15" s="1">
        <f>+AG10*0.06</f>
        <v>5175.3599999999997</v>
      </c>
      <c r="AH15" s="1">
        <f>+AH10*0.06</f>
        <v>5364.72</v>
      </c>
      <c r="AI15" s="1">
        <f>+AI10*0.06</f>
        <v>5555.04</v>
      </c>
      <c r="AJ15" s="1">
        <f>+AJ10*0.06</f>
        <v>5760.5764799999997</v>
      </c>
      <c r="AK15" s="1">
        <f>+AK10*0.06</f>
        <v>5973.717809759999</v>
      </c>
      <c r="AL15" s="1">
        <f>+AL10*0.06</f>
        <v>6194.7453687211182</v>
      </c>
      <c r="AM15" s="1">
        <f>+AM10*0.06</f>
        <v>6423.9509473637991</v>
      </c>
      <c r="AN15" s="1">
        <f>+AN10*0.06</f>
        <v>6661.6371324162583</v>
      </c>
      <c r="AO15" s="1">
        <f>+AO10*0.06</f>
        <v>6908.1177063156601</v>
      </c>
      <c r="AP15" s="1">
        <f>+AP10*0.06</f>
        <v>7163.7180614493382</v>
      </c>
    </row>
    <row r="16" spans="1:42" x14ac:dyDescent="0.2">
      <c r="B16" s="1" t="s">
        <v>27</v>
      </c>
      <c r="K16" s="1">
        <v>1294</v>
      </c>
      <c r="L16" s="1">
        <v>1308</v>
      </c>
      <c r="M16" s="1">
        <v>1310</v>
      </c>
      <c r="N16" s="1">
        <f>+AE16-SUM(K16:M16)</f>
        <v>1497</v>
      </c>
      <c r="O16" s="1">
        <v>1246</v>
      </c>
      <c r="P16" s="1">
        <v>1305</v>
      </c>
      <c r="Q16" s="1">
        <v>1373</v>
      </c>
      <c r="R16" s="7">
        <f>+AF16-SUM(O16:Q16)</f>
        <v>1632</v>
      </c>
      <c r="S16" s="7"/>
      <c r="T16" s="7"/>
      <c r="U16" s="5"/>
      <c r="V16" s="1">
        <v>4074</v>
      </c>
      <c r="W16" s="1">
        <v>4740</v>
      </c>
      <c r="X16" s="1">
        <v>4414</v>
      </c>
      <c r="Y16" s="1">
        <v>4526</v>
      </c>
      <c r="Z16" s="1">
        <v>4597</v>
      </c>
      <c r="AA16" s="1">
        <v>4431</v>
      </c>
      <c r="AB16" s="1">
        <v>4454</v>
      </c>
      <c r="AC16" s="1">
        <v>4896</v>
      </c>
      <c r="AD16" s="1">
        <v>5712</v>
      </c>
      <c r="AE16" s="1">
        <v>5409</v>
      </c>
      <c r="AF16" s="1">
        <v>5556</v>
      </c>
      <c r="AG16" s="1">
        <f>+AF16*1.029</f>
        <v>5717.1239999999998</v>
      </c>
      <c r="AH16" s="1">
        <f>+AG16*1.029</f>
        <v>5882.920595999999</v>
      </c>
      <c r="AI16" s="1">
        <f>+AH16*1.029</f>
        <v>6053.5252932839985</v>
      </c>
      <c r="AJ16" s="1">
        <f>+AI16*1.029</f>
        <v>6229.0775267892341</v>
      </c>
      <c r="AK16" s="1">
        <f>+AJ16*1.029</f>
        <v>6409.720775066121</v>
      </c>
      <c r="AL16" s="1">
        <f>+AK16*1.029</f>
        <v>6595.6026775430382</v>
      </c>
      <c r="AM16" s="1">
        <f>+AL16*1.029</f>
        <v>6786.8751551917858</v>
      </c>
      <c r="AN16" s="1">
        <f>+AM16*1.029</f>
        <v>6983.6945346923467</v>
      </c>
      <c r="AO16" s="1">
        <f>+AN16*1.029</f>
        <v>7186.2216761984246</v>
      </c>
      <c r="AP16" s="1">
        <f>+AO16*1.029</f>
        <v>7394.6221048081779</v>
      </c>
    </row>
    <row r="17" spans="2:143" x14ac:dyDescent="0.2">
      <c r="B17" s="1" t="s">
        <v>26</v>
      </c>
      <c r="K17" s="1">
        <v>0</v>
      </c>
      <c r="L17" s="1">
        <v>-12</v>
      </c>
      <c r="M17" s="1">
        <v>4</v>
      </c>
      <c r="N17" s="1">
        <f>+AE17-SUM(K17:M17)</f>
        <v>-153</v>
      </c>
      <c r="O17" s="1">
        <v>7</v>
      </c>
      <c r="P17" s="1">
        <v>5</v>
      </c>
      <c r="Q17" s="1">
        <v>-49</v>
      </c>
      <c r="R17" s="7">
        <f>+AF17-SUM(O17:Q17)</f>
        <v>4</v>
      </c>
      <c r="S17" s="7"/>
      <c r="T17" s="7"/>
      <c r="U17" s="5"/>
      <c r="V17" s="1">
        <v>-5</v>
      </c>
      <c r="W17" s="1">
        <v>-2</v>
      </c>
      <c r="X17" s="1">
        <v>-4</v>
      </c>
      <c r="Y17" s="1">
        <v>-2</v>
      </c>
      <c r="Z17" s="1">
        <v>2</v>
      </c>
      <c r="AA17" s="1">
        <v>8</v>
      </c>
      <c r="AB17" s="1">
        <v>34</v>
      </c>
      <c r="AC17" s="1">
        <v>-32</v>
      </c>
      <c r="AD17" s="1">
        <v>39</v>
      </c>
      <c r="AE17" s="1">
        <v>-161</v>
      </c>
      <c r="AF17" s="1">
        <v>-33</v>
      </c>
      <c r="AG17" s="1">
        <v>14</v>
      </c>
      <c r="AH17" s="1">
        <v>14</v>
      </c>
      <c r="AI17" s="1">
        <v>14</v>
      </c>
      <c r="AJ17" s="1">
        <v>14</v>
      </c>
      <c r="AK17" s="1">
        <v>14</v>
      </c>
      <c r="AL17" s="1">
        <v>14</v>
      </c>
      <c r="AM17" s="1">
        <v>14</v>
      </c>
      <c r="AN17" s="1">
        <v>14</v>
      </c>
      <c r="AO17" s="1">
        <v>14</v>
      </c>
      <c r="AP17" s="1">
        <v>14</v>
      </c>
    </row>
    <row r="18" spans="2:143" x14ac:dyDescent="0.2">
      <c r="B18" s="1" t="s">
        <v>25</v>
      </c>
      <c r="K18" s="1">
        <f>+SUM(K11:K17)</f>
        <v>19280</v>
      </c>
      <c r="L18" s="1">
        <f>+SUM(L11:L17)</f>
        <v>18401</v>
      </c>
      <c r="M18" s="1">
        <f>+SUM(M11:M17)</f>
        <v>18026</v>
      </c>
      <c r="N18" s="1">
        <f>+SUM(N11:N17)</f>
        <v>19708</v>
      </c>
      <c r="O18" s="1">
        <f>+SUM(O11:O17)</f>
        <v>18937</v>
      </c>
      <c r="P18" s="1">
        <f>+SUM(P11:P17)</f>
        <v>19288</v>
      </c>
      <c r="Q18" s="1">
        <f>+SUM(Q11:Q17)</f>
        <v>19219</v>
      </c>
      <c r="R18" s="1">
        <f>+SUM(R11:R17)</f>
        <v>20856</v>
      </c>
      <c r="V18" s="1">
        <f>+SUM(V11:V17)</f>
        <v>53665</v>
      </c>
      <c r="W18" s="1">
        <f>+SUM(W11:W17)</f>
        <v>56819</v>
      </c>
      <c r="X18" s="1">
        <f>+SUM(X11:X17)</f>
        <v>53843</v>
      </c>
      <c r="Y18" s="1">
        <f>+SUM(Y11:Y17)</f>
        <v>56703</v>
      </c>
      <c r="Z18" s="1">
        <f>+SUM(Z11:Z17)</f>
        <v>58388</v>
      </c>
      <c r="AA18" s="1">
        <f>+SUM(AA11:AA17)</f>
        <v>59213</v>
      </c>
      <c r="AB18" s="1">
        <f>+SUM(AB11:AB17)</f>
        <v>61869</v>
      </c>
      <c r="AC18" s="1">
        <f>+SUM(AC11:AC17)</f>
        <v>73769</v>
      </c>
      <c r="AD18" s="1">
        <f>+SUM(AD11:AD17)</f>
        <v>86000</v>
      </c>
      <c r="AE18" s="1">
        <f>+SUM(AE11:AE17)</f>
        <v>75415</v>
      </c>
      <c r="AF18" s="1">
        <f>+SUM(AF11:AF17)</f>
        <v>78300</v>
      </c>
      <c r="AG18" s="1">
        <f>+SUM(AG11:AG17)</f>
        <v>81160.880999999994</v>
      </c>
      <c r="AH18" s="1">
        <f>+SUM(AH11:AH17)</f>
        <v>83784.579884999985</v>
      </c>
      <c r="AI18" s="1">
        <f>+SUM(AI11:AI17)</f>
        <v>86487.148736096977</v>
      </c>
      <c r="AJ18" s="1">
        <f>+SUM(AJ11:AJ17)</f>
        <v>89284.927136359882</v>
      </c>
      <c r="AK18" s="1">
        <f>+SUM(AK11:AK17)</f>
        <v>92172.364628704978</v>
      </c>
      <c r="AL18" s="1">
        <f>+SUM(AL11:AL17)</f>
        <v>95151.766519446814</v>
      </c>
      <c r="AM18" s="1">
        <f>+SUM(AM11:AM17)</f>
        <v>98225.393229794863</v>
      </c>
      <c r="AN18" s="1">
        <f>+SUM(AN11:AN17)</f>
        <v>101395.43947306767</v>
      </c>
      <c r="AO18" s="1">
        <f>+SUM(AO11:AO17)</f>
        <v>104664.00979943358</v>
      </c>
      <c r="AP18" s="1">
        <f>+SUM(AP11:AP17)</f>
        <v>108033.08994660416</v>
      </c>
    </row>
    <row r="19" spans="2:143" s="6" customFormat="1" x14ac:dyDescent="0.2">
      <c r="B19" s="6" t="s">
        <v>24</v>
      </c>
      <c r="K19" s="6">
        <f>+K10-K18</f>
        <v>1638</v>
      </c>
      <c r="L19" s="6">
        <f>+L10-L18</f>
        <v>1693</v>
      </c>
      <c r="M19" s="6">
        <f>+M10-M18</f>
        <v>1372</v>
      </c>
      <c r="N19" s="6">
        <f>+N10-N18</f>
        <v>1640</v>
      </c>
      <c r="O19" s="6">
        <f>+O10-O18</f>
        <v>1314</v>
      </c>
      <c r="P19" s="6">
        <f>+P10-P18</f>
        <v>1351</v>
      </c>
      <c r="Q19" s="6">
        <f>+Q10-Q18</f>
        <v>1373</v>
      </c>
      <c r="R19" s="6">
        <f>+R10-R18</f>
        <v>1848</v>
      </c>
      <c r="V19" s="6">
        <f>+V10-V18</f>
        <v>2965</v>
      </c>
      <c r="W19" s="6">
        <f>+W10-W18</f>
        <v>2411</v>
      </c>
      <c r="X19" s="6">
        <f>+X10-X18</f>
        <v>3491</v>
      </c>
      <c r="Y19" s="6">
        <f>+Y10-Y18</f>
        <v>3741</v>
      </c>
      <c r="Z19" s="6">
        <f>+Z10-Z18</f>
        <v>3162</v>
      </c>
      <c r="AA19" s="6">
        <f>+AA10-AA18</f>
        <v>4128</v>
      </c>
      <c r="AB19" s="6">
        <f>+AB10-AB18</f>
        <v>4847</v>
      </c>
      <c r="AC19" s="6">
        <f>+AC10-AC18</f>
        <v>7978</v>
      </c>
      <c r="AD19" s="6">
        <f>+AD10-AD18</f>
        <v>8436</v>
      </c>
      <c r="AE19" s="6">
        <f>+AE10-AE18</f>
        <v>6343</v>
      </c>
      <c r="AF19" s="6">
        <f>+AF10-AF18</f>
        <v>5886</v>
      </c>
      <c r="AG19" s="6">
        <f>+AG10-AG18</f>
        <v>5095.1190000000061</v>
      </c>
      <c r="AH19" s="6">
        <f>+AH10-AH18</f>
        <v>5627.4201150000154</v>
      </c>
      <c r="AI19" s="6">
        <f>+AI10-AI18</f>
        <v>6096.8512639030232</v>
      </c>
      <c r="AJ19" s="6">
        <f>+AJ10-AJ18</f>
        <v>6724.6808636401111</v>
      </c>
      <c r="AK19" s="6">
        <f>+AK10-AK18</f>
        <v>7389.5988672950043</v>
      </c>
      <c r="AL19" s="6">
        <f>+AL10-AL18</f>
        <v>8093.9896259051602</v>
      </c>
      <c r="AM19" s="6">
        <f>+AM10-AM18</f>
        <v>8840.4558929351188</v>
      </c>
      <c r="AN19" s="6">
        <f>+AN10-AN18</f>
        <v>9631.8460672033107</v>
      </c>
      <c r="AO19" s="6">
        <f>+AO10-AO18</f>
        <v>10471.28530582742</v>
      </c>
      <c r="AP19" s="6">
        <f>+AP10-AP18</f>
        <v>11362.211077551488</v>
      </c>
    </row>
    <row r="20" spans="2:143" x14ac:dyDescent="0.2">
      <c r="B20" s="1" t="s">
        <v>23</v>
      </c>
      <c r="K20" s="1">
        <v>93</v>
      </c>
      <c r="L20" s="1">
        <v>94</v>
      </c>
      <c r="M20" s="1">
        <v>109</v>
      </c>
      <c r="N20" s="1">
        <f>+AE20-SUM(K20:M20)</f>
        <v>112</v>
      </c>
      <c r="O20" s="1">
        <v>99</v>
      </c>
      <c r="P20" s="1">
        <v>108</v>
      </c>
      <c r="Q20" s="1">
        <v>79</v>
      </c>
      <c r="R20" s="7">
        <f>+AF20-SUM(O20:Q20)</f>
        <v>98</v>
      </c>
      <c r="S20" s="7"/>
      <c r="T20" s="7"/>
      <c r="U20" s="5"/>
      <c r="V20" s="1">
        <v>74</v>
      </c>
      <c r="W20" s="1">
        <v>94</v>
      </c>
      <c r="X20" s="1">
        <v>90</v>
      </c>
      <c r="Y20" s="1">
        <v>89</v>
      </c>
      <c r="Z20" s="1">
        <v>201</v>
      </c>
      <c r="AA20" s="1">
        <v>194</v>
      </c>
      <c r="AB20" s="1">
        <v>220</v>
      </c>
      <c r="AC20" s="1">
        <v>191</v>
      </c>
      <c r="AD20" s="1">
        <v>427</v>
      </c>
      <c r="AE20" s="1">
        <v>408</v>
      </c>
      <c r="AF20" s="1">
        <v>384</v>
      </c>
      <c r="AG20" s="1">
        <f>+AF20*1.161</f>
        <v>445.82400000000001</v>
      </c>
      <c r="AH20" s="1">
        <f>+AG20*1.161</f>
        <v>517.60166400000003</v>
      </c>
      <c r="AI20" s="1">
        <f>+AH20*1.161</f>
        <v>600.93553190400007</v>
      </c>
      <c r="AJ20" s="1">
        <f>+AI20*1.161</f>
        <v>697.68615254054407</v>
      </c>
      <c r="AK20" s="1">
        <f>+AJ20*1.161</f>
        <v>810.01362309957165</v>
      </c>
      <c r="AL20" s="1">
        <f>+AK20*1.161</f>
        <v>940.42581641860272</v>
      </c>
      <c r="AM20" s="1">
        <f>+AL20*1.161</f>
        <v>1091.8343728619977</v>
      </c>
      <c r="AN20" s="1">
        <f>+AM20*1.161</f>
        <v>1267.6197068927795</v>
      </c>
      <c r="AO20" s="1">
        <f>+AN20*1.161</f>
        <v>1471.7064797025171</v>
      </c>
      <c r="AP20" s="1">
        <f>+AO20*1.161</f>
        <v>1708.6512229346224</v>
      </c>
    </row>
    <row r="21" spans="2:143" x14ac:dyDescent="0.2">
      <c r="B21" s="1" t="s">
        <v>22</v>
      </c>
      <c r="K21" s="1">
        <v>-266</v>
      </c>
      <c r="L21" s="1">
        <v>-251</v>
      </c>
      <c r="M21" s="1">
        <v>-239</v>
      </c>
      <c r="N21" s="1">
        <f>+AE21-SUM(K21:M21)</f>
        <v>-315</v>
      </c>
      <c r="O21" s="1">
        <v>-282</v>
      </c>
      <c r="P21" s="1">
        <v>-314</v>
      </c>
      <c r="Q21" s="1">
        <v>-289</v>
      </c>
      <c r="R21" s="7">
        <f>+AF21-SUM(O21:Q21)</f>
        <v>-333</v>
      </c>
      <c r="S21" s="7"/>
      <c r="T21" s="7"/>
      <c r="U21" s="5"/>
      <c r="V21" s="1">
        <v>-423</v>
      </c>
      <c r="W21" s="1">
        <v>-410</v>
      </c>
      <c r="X21" s="1">
        <v>-384</v>
      </c>
      <c r="Y21" s="1">
        <v>-482</v>
      </c>
      <c r="Z21" s="1">
        <v>-750</v>
      </c>
      <c r="AA21" s="1">
        <v>-846</v>
      </c>
      <c r="AB21" s="1">
        <v>-838</v>
      </c>
      <c r="AC21" s="1">
        <v>-746</v>
      </c>
      <c r="AD21" s="1">
        <v>-847</v>
      </c>
      <c r="AE21" s="1">
        <v>-1071</v>
      </c>
      <c r="AF21" s="1">
        <v>-1218</v>
      </c>
      <c r="AG21" s="1">
        <f>+AF21*1.101</f>
        <v>-1341.018</v>
      </c>
      <c r="AH21" s="1">
        <f>+AG21*1.101</f>
        <v>-1476.460818</v>
      </c>
      <c r="AI21" s="1">
        <f>+AH21*1.101</f>
        <v>-1625.5833606179999</v>
      </c>
      <c r="AJ21" s="1">
        <f>+AI21*1.101</f>
        <v>-1789.767280040418</v>
      </c>
      <c r="AK21" s="1">
        <f>+AJ21*1.101</f>
        <v>-1970.5337753245001</v>
      </c>
      <c r="AL21" s="1">
        <f>+AK21*1.101</f>
        <v>-2169.5576866322745</v>
      </c>
      <c r="AM21" s="1">
        <f>+AL21*1.101</f>
        <v>-2388.6830129821342</v>
      </c>
      <c r="AN21" s="1">
        <f>+AM21*1.101</f>
        <v>-2629.9399972933297</v>
      </c>
      <c r="AO21" s="1">
        <f>+AN21*1.101</f>
        <v>-2895.563937019956</v>
      </c>
      <c r="AP21" s="1">
        <f>+AO21*1.101</f>
        <v>-3188.0158946589713</v>
      </c>
    </row>
    <row r="22" spans="2:143" x14ac:dyDescent="0.2">
      <c r="B22" s="1" t="s">
        <v>21</v>
      </c>
      <c r="K22" s="1">
        <v>-52</v>
      </c>
      <c r="L22" s="1">
        <v>-63</v>
      </c>
      <c r="M22" s="1">
        <v>-26</v>
      </c>
      <c r="N22" s="1">
        <f>+AE22-SUM(K22:M22)</f>
        <v>-26</v>
      </c>
      <c r="O22" s="1">
        <v>15</v>
      </c>
      <c r="P22" s="1">
        <v>5</v>
      </c>
      <c r="Q22" s="1">
        <v>-5</v>
      </c>
      <c r="R22" s="7">
        <f>+AF22-SUM(O22:Q22)</f>
        <v>-4</v>
      </c>
      <c r="S22" s="7"/>
      <c r="T22" s="7"/>
      <c r="U22" s="5"/>
      <c r="V22" s="1">
        <v>-39</v>
      </c>
      <c r="W22" s="1">
        <v>-38</v>
      </c>
      <c r="X22" s="1">
        <v>-65</v>
      </c>
      <c r="Y22" s="1">
        <v>-18</v>
      </c>
      <c r="Z22" s="1">
        <v>-27</v>
      </c>
      <c r="AA22" s="1">
        <v>-2</v>
      </c>
      <c r="AB22" s="1">
        <v>-58</v>
      </c>
      <c r="AC22" s="1">
        <v>-64</v>
      </c>
      <c r="AD22" s="1">
        <v>-105</v>
      </c>
      <c r="AE22" s="1">
        <v>-167</v>
      </c>
      <c r="AF22" s="1">
        <v>11</v>
      </c>
      <c r="AG22" s="1">
        <v>-52</v>
      </c>
      <c r="AH22" s="1">
        <v>-52</v>
      </c>
      <c r="AI22" s="1">
        <v>-52</v>
      </c>
      <c r="AJ22" s="1">
        <v>-52</v>
      </c>
      <c r="AK22" s="1">
        <v>-52</v>
      </c>
      <c r="AL22" s="1">
        <v>-52</v>
      </c>
      <c r="AM22" s="1">
        <v>-52</v>
      </c>
      <c r="AN22" s="1">
        <v>-52</v>
      </c>
      <c r="AO22" s="1">
        <v>-52</v>
      </c>
      <c r="AP22" s="1">
        <v>-52</v>
      </c>
    </row>
    <row r="23" spans="2:143" x14ac:dyDescent="0.2">
      <c r="B23" s="1" t="s">
        <v>20</v>
      </c>
      <c r="K23" s="1">
        <f>+K19+SUM(K20:K22)</f>
        <v>1413</v>
      </c>
      <c r="L23" s="1">
        <f>+L19+SUM(L20:L22)</f>
        <v>1473</v>
      </c>
      <c r="M23" s="1">
        <f>+M19+SUM(M20:M22)</f>
        <v>1216</v>
      </c>
      <c r="N23" s="1">
        <f>+N19+SUM(N20:N22)</f>
        <v>1411</v>
      </c>
      <c r="O23" s="1">
        <f>+O19+SUM(O20:O22)</f>
        <v>1146</v>
      </c>
      <c r="P23" s="1">
        <f>+P19+SUM(P20:P22)</f>
        <v>1150</v>
      </c>
      <c r="Q23" s="1">
        <f>+Q19+SUM(Q20:Q22)</f>
        <v>1158</v>
      </c>
      <c r="R23" s="1">
        <f>+R19+SUM(R20:R22)</f>
        <v>1609</v>
      </c>
      <c r="V23" s="1">
        <f>+V19+SUM(V20:V22)</f>
        <v>2577</v>
      </c>
      <c r="W23" s="1">
        <f>+W19+SUM(W20:W22)</f>
        <v>2057</v>
      </c>
      <c r="X23" s="1">
        <f>+X19+SUM(X20:X22)</f>
        <v>3132</v>
      </c>
      <c r="Y23" s="1">
        <f>+Y19+SUM(Y20:Y22)</f>
        <v>3330</v>
      </c>
      <c r="Z23" s="1">
        <f>+Z19+SUM(Z20:Z22)</f>
        <v>2586</v>
      </c>
      <c r="AA23" s="1">
        <f>+AA19+SUM(AA20:AA22)</f>
        <v>3474</v>
      </c>
      <c r="AB23" s="1">
        <f>+AB19+SUM(AB20:AB22)</f>
        <v>4171</v>
      </c>
      <c r="AC23" s="1">
        <f>+AC19+SUM(AC20:AC22)</f>
        <v>7359</v>
      </c>
      <c r="AD23" s="1">
        <f>+AD19+SUM(AD20:AD22)</f>
        <v>7911</v>
      </c>
      <c r="AE23" s="1">
        <f>+AE19+SUM(AE20:AE22)</f>
        <v>5513</v>
      </c>
      <c r="AF23" s="1">
        <f>+AF19+SUM(AF20:AF22)</f>
        <v>5063</v>
      </c>
      <c r="AG23" s="1">
        <f>+AG19+SUM(AG20:AG22)</f>
        <v>4147.9250000000065</v>
      </c>
      <c r="AH23" s="1">
        <f>+AH19+SUM(AH20:AH22)</f>
        <v>4616.5609610000156</v>
      </c>
      <c r="AI23" s="1">
        <f>+AI19+SUM(AI20:AI22)</f>
        <v>5020.2034351890234</v>
      </c>
      <c r="AJ23" s="1">
        <f>+AJ19+SUM(AJ20:AJ22)</f>
        <v>5580.5997361402369</v>
      </c>
      <c r="AK23" s="1">
        <f>+AK19+SUM(AK20:AK22)</f>
        <v>6177.0787150700762</v>
      </c>
      <c r="AL23" s="1">
        <f>+AL19+SUM(AL20:AL22)</f>
        <v>6812.8577556914879</v>
      </c>
      <c r="AM23" s="1">
        <f>+AM19+SUM(AM20:AM22)</f>
        <v>7491.6072528149825</v>
      </c>
      <c r="AN23" s="1">
        <f>+AN19+SUM(AN20:AN22)</f>
        <v>8217.5257768027604</v>
      </c>
      <c r="AO23" s="1">
        <f>+AO19+SUM(AO20:AO22)</f>
        <v>8995.4278485099803</v>
      </c>
      <c r="AP23" s="1">
        <f>+AP19+SUM(AP20:AP22)</f>
        <v>9830.8464058271402</v>
      </c>
    </row>
    <row r="24" spans="2:143" x14ac:dyDescent="0.2">
      <c r="B24" s="1" t="s">
        <v>19</v>
      </c>
      <c r="K24" s="1">
        <v>424</v>
      </c>
      <c r="L24" s="1">
        <v>442</v>
      </c>
      <c r="M24" s="1">
        <v>363</v>
      </c>
      <c r="N24" s="1">
        <f>+AE24-SUM(K24:M24)</f>
        <v>351</v>
      </c>
      <c r="O24" s="1">
        <v>344</v>
      </c>
      <c r="P24" s="1">
        <v>345</v>
      </c>
      <c r="Q24" s="1">
        <v>347</v>
      </c>
      <c r="R24" s="7">
        <f>+AF24-SUM(O24:Q24)</f>
        <v>458</v>
      </c>
      <c r="S24" s="7"/>
      <c r="T24" s="7"/>
      <c r="V24" s="1">
        <v>400</v>
      </c>
      <c r="W24" s="1">
        <v>338</v>
      </c>
      <c r="X24" s="1">
        <v>351</v>
      </c>
      <c r="Y24" s="1">
        <v>477</v>
      </c>
      <c r="Z24" s="1">
        <v>362</v>
      </c>
      <c r="AA24" s="1">
        <v>698</v>
      </c>
      <c r="AB24" s="1">
        <v>995</v>
      </c>
      <c r="AC24" s="1">
        <v>1936</v>
      </c>
      <c r="AD24" s="1">
        <v>2194</v>
      </c>
      <c r="AE24" s="1">
        <v>1580</v>
      </c>
      <c r="AF24" s="1">
        <v>1494</v>
      </c>
      <c r="AG24" s="1">
        <f>+AG23*0.21</f>
        <v>871.06425000000138</v>
      </c>
      <c r="AH24" s="1">
        <f>+AH23*0.21</f>
        <v>969.47780181000326</v>
      </c>
      <c r="AI24" s="1">
        <f>+AI23*0.21</f>
        <v>1054.2427213896949</v>
      </c>
      <c r="AJ24" s="1">
        <f>+AJ23*0.21</f>
        <v>1171.9259445894497</v>
      </c>
      <c r="AK24" s="1">
        <f>+AK23*0.21</f>
        <v>1297.186530164716</v>
      </c>
      <c r="AL24" s="1">
        <f>+AL23*0.21</f>
        <v>1430.7001286952125</v>
      </c>
      <c r="AM24" s="1">
        <f>+AM23*0.21</f>
        <v>1573.2375230911464</v>
      </c>
      <c r="AN24" s="1">
        <f>+AN23*0.21</f>
        <v>1725.6804131285796</v>
      </c>
      <c r="AO24" s="1">
        <f>+AO23*0.21</f>
        <v>1889.0398481870957</v>
      </c>
      <c r="AP24" s="1">
        <f>+AP23*0.21</f>
        <v>2064.4777452236995</v>
      </c>
    </row>
    <row r="25" spans="2:143" s="6" customFormat="1" x14ac:dyDescent="0.2">
      <c r="B25" s="6" t="s">
        <v>18</v>
      </c>
      <c r="K25" s="6">
        <f>+K23-K24</f>
        <v>989</v>
      </c>
      <c r="L25" s="6">
        <f>+L23-L24</f>
        <v>1031</v>
      </c>
      <c r="M25" s="6">
        <f>+M23-M24</f>
        <v>853</v>
      </c>
      <c r="N25" s="6">
        <f>+N23-N24</f>
        <v>1060</v>
      </c>
      <c r="O25" s="6">
        <f>+O23-O24</f>
        <v>802</v>
      </c>
      <c r="P25" s="6">
        <f>+P23-P24</f>
        <v>805</v>
      </c>
      <c r="Q25" s="6">
        <f>+Q23-Q24</f>
        <v>811</v>
      </c>
      <c r="R25" s="6">
        <f>+R23-R24</f>
        <v>1151</v>
      </c>
      <c r="V25" s="6">
        <f>+V23-V24</f>
        <v>2177</v>
      </c>
      <c r="W25" s="6">
        <f>+W23-W24</f>
        <v>1719</v>
      </c>
      <c r="X25" s="6">
        <f>+X23-X24</f>
        <v>2781</v>
      </c>
      <c r="Y25" s="6">
        <f>+Y23-Y24</f>
        <v>2853</v>
      </c>
      <c r="Z25" s="6">
        <f>+Z23-Z24</f>
        <v>2224</v>
      </c>
      <c r="AA25" s="6">
        <f>+AA23-AA24</f>
        <v>2776</v>
      </c>
      <c r="AB25" s="6">
        <f>+AB23-AB24</f>
        <v>3176</v>
      </c>
      <c r="AC25" s="6">
        <f>+AC23-AC24</f>
        <v>5423</v>
      </c>
      <c r="AD25" s="6">
        <f>+AD23-AD24</f>
        <v>5717</v>
      </c>
      <c r="AE25" s="6">
        <f>+AE23-AE24</f>
        <v>3933</v>
      </c>
      <c r="AF25" s="6">
        <f>+AF23-AF24</f>
        <v>3569</v>
      </c>
      <c r="AG25" s="6">
        <f>+AG23-AG24</f>
        <v>3276.8607500000053</v>
      </c>
      <c r="AH25" s="6">
        <f>+AH23-AH24</f>
        <v>3647.0831591900123</v>
      </c>
      <c r="AI25" s="6">
        <f>+AI23-AI24</f>
        <v>3965.9607137993285</v>
      </c>
      <c r="AJ25" s="6">
        <f>+AJ23-AJ24</f>
        <v>4408.6737915507874</v>
      </c>
      <c r="AK25" s="6">
        <f>+AK23-AK24</f>
        <v>4879.8921849053604</v>
      </c>
      <c r="AL25" s="6">
        <f>+AL23-AL24</f>
        <v>5382.1576269962752</v>
      </c>
      <c r="AM25" s="6">
        <f>+AM23-AM24</f>
        <v>5918.3697297238359</v>
      </c>
      <c r="AN25" s="6">
        <f>+AN23-AN24</f>
        <v>6491.8453636741806</v>
      </c>
      <c r="AO25" s="6">
        <f>+AO23-AO24</f>
        <v>7106.3880003228842</v>
      </c>
      <c r="AP25" s="6">
        <f>+AP23-AP24</f>
        <v>7766.3686606034407</v>
      </c>
      <c r="AQ25" s="6">
        <f>+AP25*(1+$AS$28)</f>
        <v>7844.0323472094751</v>
      </c>
      <c r="AR25" s="6">
        <f>+AQ25*(1+$AS$28)</f>
        <v>7922.47267068157</v>
      </c>
      <c r="AS25" s="6">
        <f>+AR25*(1+$AS$28)</f>
        <v>8001.697397388386</v>
      </c>
      <c r="AT25" s="6">
        <f>+AS25*(1+$AS$28)</f>
        <v>8081.71437136227</v>
      </c>
      <c r="AU25" s="6">
        <f>+AT25*(1+$AS$28)</f>
        <v>8162.5315150758925</v>
      </c>
      <c r="AV25" s="6">
        <f>+AU25*(1+$AS$28)</f>
        <v>8244.1568302266514</v>
      </c>
      <c r="AW25" s="6">
        <f>+AV25*(1+$AS$28)</f>
        <v>8326.5983985289186</v>
      </c>
      <c r="AX25" s="6">
        <f>+AW25*(1+$AS$28)</f>
        <v>8409.864382514208</v>
      </c>
      <c r="AY25" s="6">
        <f>+AX25*(1+$AS$28)</f>
        <v>8493.9630263393501</v>
      </c>
      <c r="AZ25" s="6">
        <f>+AY25*(1+$AS$28)</f>
        <v>8578.9026566027442</v>
      </c>
      <c r="BA25" s="6">
        <f>+AZ25*(1+$AS$28)</f>
        <v>8664.6916831687722</v>
      </c>
      <c r="BB25" s="6">
        <f>+BA25*(1+$AS$28)</f>
        <v>8751.3386000004593</v>
      </c>
      <c r="BC25" s="6">
        <f>+BB25*(1+$AS$28)</f>
        <v>8838.8519860004635</v>
      </c>
      <c r="BD25" s="6">
        <f>+BC25*(1+$AS$28)</f>
        <v>8927.2405058604691</v>
      </c>
      <c r="BE25" s="6">
        <f>+BD25*(1+$AS$28)</f>
        <v>9016.512910919073</v>
      </c>
      <c r="BF25" s="6">
        <f>+BE25*(1+$AS$28)</f>
        <v>9106.6780400282641</v>
      </c>
      <c r="BG25" s="6">
        <f>+BF25*(1+$AS$28)</f>
        <v>9197.7448204285465</v>
      </c>
      <c r="BH25" s="6">
        <f>+BG25*(1+$AS$28)</f>
        <v>9289.7222686328314</v>
      </c>
      <c r="BI25" s="6">
        <f>+BH25*(1+$AS$28)</f>
        <v>9382.6194913191594</v>
      </c>
      <c r="BJ25" s="6">
        <f>+BI25*(1+$AS$28)</f>
        <v>9476.4456862323514</v>
      </c>
      <c r="BK25" s="6">
        <f>+BJ25*(1+$AS$28)</f>
        <v>9571.210143094675</v>
      </c>
      <c r="BL25" s="6">
        <f>+BK25*(1+$AS$28)</f>
        <v>9666.9222445256219</v>
      </c>
      <c r="BM25" s="6">
        <f>+BL25*(1+$AS$28)</f>
        <v>9763.5914669708782</v>
      </c>
      <c r="BN25" s="6">
        <f>+BM25*(1+$AS$28)</f>
        <v>9861.2273816405868</v>
      </c>
      <c r="BO25" s="6">
        <f>+BN25*(1+$AS$28)</f>
        <v>9959.8396554569936</v>
      </c>
      <c r="BP25" s="6">
        <f>+BO25*(1+$AS$28)</f>
        <v>10059.438052011563</v>
      </c>
      <c r="BQ25" s="6">
        <f>+BP25*(1+$AS$28)</f>
        <v>10160.032432531678</v>
      </c>
      <c r="BR25" s="6">
        <f>+BQ25*(1+$AS$28)</f>
        <v>10261.632756856994</v>
      </c>
      <c r="BS25" s="6">
        <f>+BR25*(1+$AS$28)</f>
        <v>10364.249084425564</v>
      </c>
      <c r="BT25" s="6">
        <f>+BS25*(1+$AS$28)</f>
        <v>10467.891575269819</v>
      </c>
      <c r="BU25" s="6">
        <f>+BT25*(1+$AS$28)</f>
        <v>10572.570491022518</v>
      </c>
      <c r="BV25" s="6">
        <f>+BU25*(1+$AS$28)</f>
        <v>10678.296195932742</v>
      </c>
      <c r="BW25" s="6">
        <f>+BV25*(1+$AS$28)</f>
        <v>10785.079157892069</v>
      </c>
      <c r="BX25" s="6">
        <f>+BW25*(1+$AS$28)</f>
        <v>10892.92994947099</v>
      </c>
      <c r="BY25" s="6">
        <f>+BX25*(1+$AS$28)</f>
        <v>11001.8592489657</v>
      </c>
      <c r="BZ25" s="6">
        <f>+BY25*(1+$AS$28)</f>
        <v>11111.877841455358</v>
      </c>
      <c r="CA25" s="6">
        <f>+BZ25*(1+$AS$28)</f>
        <v>11222.996619869911</v>
      </c>
      <c r="CB25" s="6">
        <f>+CA25*(1+$AS$28)</f>
        <v>11335.226586068611</v>
      </c>
      <c r="CC25" s="6">
        <f>+CB25*(1+$AS$28)</f>
        <v>11448.578851929298</v>
      </c>
      <c r="CD25" s="6">
        <f>+CC25*(1+$AS$28)</f>
        <v>11563.064640448591</v>
      </c>
      <c r="CE25" s="6">
        <f>+CD25*(1+$AS$28)</f>
        <v>11678.695286853077</v>
      </c>
      <c r="CF25" s="6">
        <f>+CE25*(1+$AS$28)</f>
        <v>11795.482239721608</v>
      </c>
      <c r="CG25" s="6">
        <f>+CF25*(1+$AS$28)</f>
        <v>11913.437062118825</v>
      </c>
      <c r="CH25" s="6">
        <f>+CG25*(1+$AS$28)</f>
        <v>12032.571432740013</v>
      </c>
      <c r="CI25" s="6">
        <f>+CH25*(1+$AS$28)</f>
        <v>12152.897147067413</v>
      </c>
      <c r="CJ25" s="6">
        <f>+CI25*(1+$AS$28)</f>
        <v>12274.426118538087</v>
      </c>
      <c r="CK25" s="6">
        <f>+CJ25*(1+$AS$28)</f>
        <v>12397.170379723468</v>
      </c>
      <c r="CL25" s="6">
        <f>+CK25*(1+$AS$28)</f>
        <v>12521.142083520703</v>
      </c>
      <c r="CM25" s="6">
        <f>+CL25*(1+$AS$28)</f>
        <v>12646.35350435591</v>
      </c>
      <c r="CN25" s="6">
        <f>+CM25*(1+$AS$28)</f>
        <v>12772.81703939947</v>
      </c>
      <c r="CO25" s="6">
        <f>+CN25*(1+$AS$28)</f>
        <v>12900.545209793465</v>
      </c>
      <c r="CP25" s="6">
        <f>+CO25*(1+$AS$28)</f>
        <v>13029.550661891401</v>
      </c>
      <c r="CQ25" s="6">
        <f>+CP25*(1+$AS$28)</f>
        <v>13159.846168510314</v>
      </c>
      <c r="CR25" s="6">
        <f>+CQ25*(1+$AS$28)</f>
        <v>13291.444630195418</v>
      </c>
      <c r="CS25" s="6">
        <f>+CR25*(1+$AS$28)</f>
        <v>13424.359076497372</v>
      </c>
      <c r="CT25" s="6">
        <f>+CS25*(1+$AS$28)</f>
        <v>13558.602667262347</v>
      </c>
      <c r="CU25" s="6">
        <f>+CT25*(1+$AS$28)</f>
        <v>13694.18869393497</v>
      </c>
      <c r="CV25" s="6">
        <f>+CU25*(1+$AS$28)</f>
        <v>13831.13058087432</v>
      </c>
      <c r="CW25" s="6">
        <f>+CV25*(1+$AS$28)</f>
        <v>13969.441886683064</v>
      </c>
      <c r="CX25" s="6">
        <f>+CW25*(1+$AS$28)</f>
        <v>14109.136305549895</v>
      </c>
      <c r="CY25" s="6">
        <f>+CX25*(1+$AS$28)</f>
        <v>14250.227668605394</v>
      </c>
      <c r="CZ25" s="6">
        <f>+CY25*(1+$AS$28)</f>
        <v>14392.729945291449</v>
      </c>
      <c r="DA25" s="6">
        <f>+CZ25*(1+$AS$28)</f>
        <v>14536.657244744363</v>
      </c>
      <c r="DB25" s="6">
        <f>+DA25*(1+$AS$28)</f>
        <v>14682.023817191806</v>
      </c>
      <c r="DC25" s="6">
        <f>+DB25*(1+$AS$28)</f>
        <v>14828.844055363725</v>
      </c>
      <c r="DD25" s="6">
        <f>+DC25*(1+$AS$28)</f>
        <v>14977.132495917362</v>
      </c>
      <c r="DE25" s="6">
        <f>+DD25*(1+$AS$28)</f>
        <v>15126.903820876536</v>
      </c>
      <c r="DF25" s="6">
        <f>+DE25*(1+$AS$28)</f>
        <v>15278.172859085302</v>
      </c>
      <c r="DG25" s="6">
        <f>+DF25*(1+$AS$28)</f>
        <v>15430.954587676155</v>
      </c>
      <c r="DH25" s="6">
        <f>+DG25*(1+$AS$28)</f>
        <v>15585.264133552917</v>
      </c>
      <c r="DI25" s="6">
        <f>+DH25*(1+$AS$28)</f>
        <v>15741.116774888445</v>
      </c>
      <c r="DJ25" s="6">
        <f>+DI25*(1+$AS$28)</f>
        <v>15898.527942637331</v>
      </c>
      <c r="DK25" s="6">
        <f>+DJ25*(1+$AS$28)</f>
        <v>16057.513222063704</v>
      </c>
      <c r="DL25" s="6">
        <f>+DK25*(1+$AS$28)</f>
        <v>16218.088354284342</v>
      </c>
      <c r="DM25" s="6">
        <f>+DL25*(1+$AS$28)</f>
        <v>16380.269237827186</v>
      </c>
      <c r="DN25" s="6">
        <f>+DM25*(1+$AS$28)</f>
        <v>16544.071930205457</v>
      </c>
      <c r="DO25" s="6">
        <f>+DN25*(1+$AS$28)</f>
        <v>16709.512649507513</v>
      </c>
      <c r="DP25" s="6">
        <f>+DO25*(1+$AS$28)</f>
        <v>16876.607776002587</v>
      </c>
      <c r="DQ25" s="6">
        <f>+DP25*(1+$AS$28)</f>
        <v>17045.373853762612</v>
      </c>
      <c r="DR25" s="6">
        <f>+DQ25*(1+$AS$28)</f>
        <v>17215.82759230024</v>
      </c>
      <c r="DS25" s="6">
        <f>+DR25*(1+$AS$28)</f>
        <v>17387.985868223244</v>
      </c>
      <c r="DT25" s="6">
        <f>+DS25*(1+$AS$28)</f>
        <v>17561.865726905478</v>
      </c>
      <c r="DU25" s="6">
        <f>+DT25*(1+$AS$28)</f>
        <v>17737.484384174535</v>
      </c>
      <c r="DV25" s="6">
        <f>+DU25*(1+$AS$28)</f>
        <v>17914.859228016281</v>
      </c>
      <c r="DW25" s="6">
        <f>+DV25*(1+$AS$28)</f>
        <v>18094.007820296443</v>
      </c>
      <c r="DX25" s="6">
        <f>+DW25*(1+$AS$28)</f>
        <v>18274.947898499409</v>
      </c>
      <c r="DY25" s="6">
        <f>+DX25*(1+$AS$28)</f>
        <v>18457.697377484405</v>
      </c>
      <c r="DZ25" s="6">
        <f>+DY25*(1+$AS$28)</f>
        <v>18642.27435125925</v>
      </c>
      <c r="EA25" s="6">
        <f>+DZ25*(1+$AS$28)</f>
        <v>18828.697094771844</v>
      </c>
      <c r="EB25" s="6">
        <f>+EA25*(1+$AS$28)</f>
        <v>19016.984065719564</v>
      </c>
      <c r="EC25" s="6">
        <f>+EB25*(1+$AS$28)</f>
        <v>19207.15390637676</v>
      </c>
      <c r="ED25" s="6">
        <f>+EC25*(1+$AS$28)</f>
        <v>19399.225445440527</v>
      </c>
      <c r="EE25" s="6">
        <f>+ED25*(1+$AS$28)</f>
        <v>19593.217699894933</v>
      </c>
      <c r="EF25" s="6">
        <f>+EE25*(1+$AS$28)</f>
        <v>19789.149876893884</v>
      </c>
      <c r="EG25" s="6">
        <f>+EF25*(1+$AS$28)</f>
        <v>19987.041375662822</v>
      </c>
      <c r="EH25" s="6">
        <f>+EG25*(1+$AS$28)</f>
        <v>20186.91178941945</v>
      </c>
      <c r="EI25" s="6">
        <f>+EH25*(1+$AS$28)</f>
        <v>20388.780907313645</v>
      </c>
      <c r="EJ25" s="6">
        <f>+EI25*(1+$AS$28)</f>
        <v>20592.668716386783</v>
      </c>
      <c r="EK25" s="6">
        <f>+EJ25*(1+$AS$28)</f>
        <v>20798.595403550651</v>
      </c>
      <c r="EL25" s="6">
        <f>+EK25*(1+$AS$28)</f>
        <v>21006.581357586158</v>
      </c>
      <c r="EM25" s="6">
        <f>+EL25*(1+$AS$28)</f>
        <v>21216.647171162018</v>
      </c>
    </row>
    <row r="26" spans="2:143" s="4" customFormat="1" x14ac:dyDescent="0.2">
      <c r="B26" s="4" t="s">
        <v>17</v>
      </c>
      <c r="K26" s="4">
        <f>+K25/K27</f>
        <v>0.81115655174390644</v>
      </c>
      <c r="L26" s="4">
        <f>+L25/L27</f>
        <v>0.84598322989965735</v>
      </c>
      <c r="M26" s="4">
        <f>+M25/M27</f>
        <v>0.70899517236127307</v>
      </c>
      <c r="N26" s="4">
        <f>+N25/N27</f>
        <v>0.87927436399957537</v>
      </c>
      <c r="O26" s="4">
        <f>+O25/O27</f>
        <v>0.67064271555571342</v>
      </c>
      <c r="P26" s="4">
        <f>+P25/P27</f>
        <v>0.67663154182115526</v>
      </c>
      <c r="Q26" s="4">
        <f>+Q25/Q27</f>
        <v>0.68295789258650663</v>
      </c>
      <c r="R26" s="4">
        <f>+R25/R27</f>
        <v>0.97679813925776193</v>
      </c>
      <c r="V26" s="4">
        <f>+V25/V27</f>
        <v>1.7240135215021948</v>
      </c>
      <c r="W26" s="4">
        <f>+W25/W27</f>
        <v>1.3615612151657097</v>
      </c>
      <c r="X26" s="4">
        <f>+X25/X27</f>
        <v>2.2118381278108763</v>
      </c>
      <c r="Y26" s="4">
        <f>+Y25/Y27</f>
        <v>2.262787484978785</v>
      </c>
      <c r="Z26" s="4">
        <f>+Z25/Z27</f>
        <v>1.7764852746863995</v>
      </c>
      <c r="AA26" s="4">
        <f>+AA25/AA27</f>
        <v>2.2084820254253419</v>
      </c>
      <c r="AB26" s="4">
        <f>+AB25/AB27</f>
        <v>2.5096963176107803</v>
      </c>
      <c r="AC26" s="4">
        <f>+AC25/AC27</f>
        <v>4.2968171260186949</v>
      </c>
      <c r="AD26" s="4">
        <f>+AD25/AD27</f>
        <v>4.6160680028835399</v>
      </c>
      <c r="AE26" s="4">
        <f>+AE25/AE27</f>
        <v>3.2459884017392815</v>
      </c>
      <c r="AF26" s="4">
        <f>+AF25/AF27</f>
        <v>3.0045842893082471</v>
      </c>
      <c r="AG26" s="4">
        <f>+AG25/AG27</f>
        <v>2.7752968716476092</v>
      </c>
      <c r="AH26" s="4">
        <f>+AH25/AH27</f>
        <v>3.1074971663994475</v>
      </c>
      <c r="AI26" s="4">
        <f>+AI25/AI27</f>
        <v>3.399594349457189</v>
      </c>
      <c r="AJ26" s="4">
        <f>+AJ25/AJ27</f>
        <v>3.8018963443409821</v>
      </c>
      <c r="AK26" s="4">
        <f>+AK25/AK27</f>
        <v>4.2336616725623104</v>
      </c>
      <c r="AL26" s="4">
        <f>+AL25/AL27</f>
        <v>4.6975990975281556</v>
      </c>
      <c r="AM26" s="4">
        <f>+AM25/AM27</f>
        <v>5.1967909391633924</v>
      </c>
      <c r="AN26" s="4">
        <f>+AN25/AN27</f>
        <v>5.7347558783833321</v>
      </c>
      <c r="AO26" s="4">
        <f>+AO25/AO27</f>
        <v>6.3155226969479479</v>
      </c>
      <c r="AP26" s="4">
        <f>+AP25/AP27</f>
        <v>6.9437168393865614</v>
      </c>
    </row>
    <row r="27" spans="2:143" x14ac:dyDescent="0.2">
      <c r="B27" s="1" t="s">
        <v>16</v>
      </c>
      <c r="K27" s="1">
        <v>1219.2467630000001</v>
      </c>
      <c r="L27" s="1">
        <f>+(1218.973522*2)-K27</f>
        <v>1218.7002809999999</v>
      </c>
      <c r="M27" s="1">
        <f>+(1213.686066*3)-SUM(K27:L27)</f>
        <v>1203.1111539999997</v>
      </c>
      <c r="N27" s="1">
        <f>+(AE27*4)-SUM(K27:M27)</f>
        <v>1205.5395260000005</v>
      </c>
      <c r="O27" s="1">
        <v>1195.867757</v>
      </c>
      <c r="P27" s="1">
        <f>+(1192.792343*2)-O27</f>
        <v>1189.7169290000002</v>
      </c>
      <c r="Q27" s="1">
        <f>+(1191.022129*3)-SUM(O27:P27)</f>
        <v>1187.4817009999997</v>
      </c>
      <c r="R27" s="1">
        <f>+(AF27*4)-SUM(O27:Q27)</f>
        <v>1178.3396730000004</v>
      </c>
      <c r="U27" s="5"/>
      <c r="V27" s="1">
        <v>1262.751117</v>
      </c>
      <c r="W27" s="1">
        <v>1262.5212739999999</v>
      </c>
      <c r="X27" s="1">
        <v>1257.3252829999999</v>
      </c>
      <c r="Y27" s="1">
        <v>1260.834267</v>
      </c>
      <c r="Z27" s="1">
        <v>1251.9101800000001</v>
      </c>
      <c r="AA27" s="1">
        <v>1256.9719689999999</v>
      </c>
      <c r="AB27" s="1">
        <v>1265.4917559999999</v>
      </c>
      <c r="AC27" s="1">
        <v>1262.0969990000001</v>
      </c>
      <c r="AD27" s="1">
        <v>1238.4999519999999</v>
      </c>
      <c r="AE27" s="1">
        <v>1211.649431</v>
      </c>
      <c r="AF27" s="1">
        <v>1187.8515150000001</v>
      </c>
      <c r="AG27" s="1">
        <f>+AF27*0.994</f>
        <v>1180.7244059100001</v>
      </c>
      <c r="AH27" s="1">
        <f>+AG27*0.994</f>
        <v>1173.6400594745401</v>
      </c>
      <c r="AI27" s="1">
        <f>+AH27*0.994</f>
        <v>1166.5982191176929</v>
      </c>
      <c r="AJ27" s="1">
        <f>+AI27*0.994</f>
        <v>1159.5986298029868</v>
      </c>
      <c r="AK27" s="1">
        <f>+AJ27*0.994</f>
        <v>1152.6410380241689</v>
      </c>
      <c r="AL27" s="1">
        <f>+AK27*0.994</f>
        <v>1145.7251917960239</v>
      </c>
      <c r="AM27" s="1">
        <f>+AL27*0.994</f>
        <v>1138.8508406452477</v>
      </c>
      <c r="AN27" s="1">
        <f>+AM27*0.994</f>
        <v>1132.0177356013762</v>
      </c>
      <c r="AO27" s="1">
        <f>+AN27*0.994</f>
        <v>1125.2256291877679</v>
      </c>
      <c r="AP27" s="1">
        <f>+AO27*0.994</f>
        <v>1118.4742754126414</v>
      </c>
    </row>
    <row r="28" spans="2:143" x14ac:dyDescent="0.2">
      <c r="AR28" s="1" t="s">
        <v>15</v>
      </c>
      <c r="AS28" s="3">
        <v>0.01</v>
      </c>
    </row>
    <row r="29" spans="2:143" s="3" customFormat="1" x14ac:dyDescent="0.2">
      <c r="B29" s="3" t="s">
        <v>14</v>
      </c>
      <c r="K29" s="3">
        <f>+K19/K10</f>
        <v>7.8305765369538191E-2</v>
      </c>
      <c r="L29" s="3">
        <f>+L19/L10</f>
        <v>8.4254006170996321E-2</v>
      </c>
      <c r="M29" s="3">
        <f>+M19/M10</f>
        <v>7.0728941127951334E-2</v>
      </c>
      <c r="N29" s="3">
        <f>+N19/N10</f>
        <v>7.6822184747985758E-2</v>
      </c>
      <c r="O29" s="3">
        <f>+O19/O10</f>
        <v>6.4885684657547779E-2</v>
      </c>
      <c r="P29" s="3">
        <f>+P19/P10</f>
        <v>6.5458597800281015E-2</v>
      </c>
      <c r="Q29" s="3">
        <f>+Q19/Q10</f>
        <v>6.6676379176379183E-2</v>
      </c>
      <c r="R29" s="3">
        <f>+R19/R10</f>
        <v>8.1395348837209308E-2</v>
      </c>
      <c r="S29" s="3">
        <f>+S19/S10</f>
        <v>0</v>
      </c>
      <c r="V29" s="3">
        <f>+V19/V10</f>
        <v>5.235740773441639E-2</v>
      </c>
      <c r="W29" s="3">
        <f>+W19/W10</f>
        <v>4.0705723450953905E-2</v>
      </c>
      <c r="X29" s="3">
        <f>+X19/X10</f>
        <v>6.0888826874106114E-2</v>
      </c>
      <c r="Y29" s="3">
        <f>+Y19/Y10</f>
        <v>6.1891999205876513E-2</v>
      </c>
      <c r="Z29" s="3">
        <f>+Z19/Z10</f>
        <v>5.1372867587327377E-2</v>
      </c>
      <c r="AA29" s="3">
        <f>+AA19/AA10</f>
        <v>6.5171058240318283E-2</v>
      </c>
      <c r="AB29" s="3">
        <f>+AB19/AB10</f>
        <v>7.2651238083817973E-2</v>
      </c>
      <c r="AC29" s="3">
        <f>+AC19/AC10</f>
        <v>9.7593795490966029E-2</v>
      </c>
      <c r="AD29" s="3">
        <f>+AD19/AD10</f>
        <v>8.9330340124528784E-2</v>
      </c>
      <c r="AE29" s="3">
        <f>+AE19/AE10</f>
        <v>7.7582621884096967E-2</v>
      </c>
      <c r="AF29" s="3">
        <f>+AF19/AF10</f>
        <v>6.9916613213598461E-2</v>
      </c>
      <c r="AG29" s="3">
        <f>+AG19/AG10</f>
        <v>5.9069734279354552E-2</v>
      </c>
      <c r="AH29" s="3">
        <f>+AH19/AH10</f>
        <v>6.2938085659643178E-2</v>
      </c>
      <c r="AI29" s="3">
        <f>+AI19/AI10</f>
        <v>6.5852104725471178E-2</v>
      </c>
      <c r="AJ29" s="3">
        <f>+AJ19/AJ10</f>
        <v>7.0041748984540297E-2</v>
      </c>
      <c r="AK29" s="3">
        <f>+AK19/AK10</f>
        <v>7.4221104203031213E-2</v>
      </c>
      <c r="AL29" s="3">
        <f>+AL19/AL10</f>
        <v>7.8395373602671264E-2</v>
      </c>
      <c r="AM29" s="3">
        <f>+AM19/AM10</f>
        <v>8.2570268347671449E-2</v>
      </c>
      <c r="AN29" s="3">
        <f>+AN19/AN10</f>
        <v>8.6752062975634217E-2</v>
      </c>
      <c r="AO29" s="3">
        <f>+AO19/AO10</f>
        <v>9.094765680892361E-2</v>
      </c>
      <c r="AP29" s="3">
        <f>+AP19/AP10</f>
        <v>9.5164641992507931E-2</v>
      </c>
      <c r="AR29" s="1" t="s">
        <v>13</v>
      </c>
      <c r="AS29" s="3">
        <v>0.09</v>
      </c>
    </row>
    <row r="30" spans="2:143" s="3" customFormat="1" x14ac:dyDescent="0.2">
      <c r="B30" s="3" t="s">
        <v>12</v>
      </c>
      <c r="K30" s="3">
        <f>+K25/K10</f>
        <v>4.7279854670618605E-2</v>
      </c>
      <c r="L30" s="3">
        <f>+L25/L10</f>
        <v>5.130884841246143E-2</v>
      </c>
      <c r="M30" s="3">
        <f>+M25/M10</f>
        <v>4.397360552634292E-2</v>
      </c>
      <c r="N30" s="3">
        <f>+N25/N10</f>
        <v>4.9653363312722507E-2</v>
      </c>
      <c r="O30" s="3">
        <f>+O25/O10</f>
        <v>3.9602982568762039E-2</v>
      </c>
      <c r="P30" s="3">
        <f>+P25/P10</f>
        <v>3.9003827704830657E-2</v>
      </c>
      <c r="Q30" s="3">
        <f>+Q25/Q10</f>
        <v>3.9384226884226887E-2</v>
      </c>
      <c r="R30" s="3">
        <f>+R25/R10</f>
        <v>5.0695912614517266E-2</v>
      </c>
      <c r="S30" s="3">
        <f>+S25/S10</f>
        <v>0</v>
      </c>
      <c r="V30" s="3">
        <f>+V25/V10</f>
        <v>3.8442521631644008E-2</v>
      </c>
      <c r="W30" s="3">
        <f>+W25/W10</f>
        <v>2.9022454837075808E-2</v>
      </c>
      <c r="X30" s="3">
        <f>+X25/X10</f>
        <v>4.8505249938954199E-2</v>
      </c>
      <c r="Y30" s="3">
        <f>+Y25/Y10</f>
        <v>4.7200714711137584E-2</v>
      </c>
      <c r="Z30" s="3">
        <f>+Z25/Z10</f>
        <v>3.613322502030869E-2</v>
      </c>
      <c r="AA30" s="3">
        <f>+AA25/AA10</f>
        <v>4.3826273661609384E-2</v>
      </c>
      <c r="AB30" s="3">
        <f>+AB25/AB10</f>
        <v>4.7604772468373406E-2</v>
      </c>
      <c r="AC30" s="3">
        <f>+AC25/AC10</f>
        <v>6.6338825889635092E-2</v>
      </c>
      <c r="AD30" s="3">
        <f>+AD25/AD10</f>
        <v>6.0538354017535684E-2</v>
      </c>
      <c r="AE30" s="3">
        <f>+AE25/AE10</f>
        <v>4.8105384182587634E-2</v>
      </c>
      <c r="AF30" s="3">
        <f>+AF25/AF10</f>
        <v>4.2394222317249902E-2</v>
      </c>
      <c r="AG30" s="3">
        <f>+AG25/AG10</f>
        <v>3.7989945626970938E-2</v>
      </c>
      <c r="AH30" s="3">
        <f>+AH25/AH10</f>
        <v>4.0789638518207987E-2</v>
      </c>
      <c r="AI30" s="3">
        <f>+AI25/AI10</f>
        <v>4.2836350922398347E-2</v>
      </c>
      <c r="AJ30" s="3">
        <f>+AJ25/AJ10</f>
        <v>4.591908959310393E-2</v>
      </c>
      <c r="AK30" s="3">
        <f>+AK25/AK10</f>
        <v>4.9013619393930653E-2</v>
      </c>
      <c r="AL30" s="3">
        <f>+AL25/AL10</f>
        <v>5.2129577310849835E-2</v>
      </c>
      <c r="AM30" s="3">
        <f>+AM25/AM10</f>
        <v>5.5277847961954577E-2</v>
      </c>
      <c r="AN30" s="3">
        <f>+AN25/AN10</f>
        <v>5.8470720346662057E-2</v>
      </c>
      <c r="AO30" s="3">
        <f>+AO25/AO10</f>
        <v>6.1722063541210001E-2</v>
      </c>
      <c r="AP30" s="3">
        <f>+AP25/AP10</f>
        <v>6.50475235958589E-2</v>
      </c>
      <c r="AR30" s="3" t="s">
        <v>11</v>
      </c>
    </row>
    <row r="31" spans="2:143" s="3" customFormat="1" x14ac:dyDescent="0.2">
      <c r="B31" s="3" t="s">
        <v>10</v>
      </c>
      <c r="K31" s="3">
        <f>+K24/K23</f>
        <v>0.30007077140835103</v>
      </c>
      <c r="L31" s="3">
        <f>+L24/L23</f>
        <v>0.30006788866259337</v>
      </c>
      <c r="M31" s="3">
        <f>+M24/M23</f>
        <v>0.29851973684210525</v>
      </c>
      <c r="N31" s="3">
        <f>+N24/N23</f>
        <v>0.24875974486180014</v>
      </c>
      <c r="O31" s="3">
        <f>+O24/O23</f>
        <v>0.30017452006980805</v>
      </c>
      <c r="P31" s="3">
        <f>+P24/P23</f>
        <v>0.3</v>
      </c>
      <c r="Q31" s="3">
        <f>+Q24/Q23</f>
        <v>0.29965457685664937</v>
      </c>
      <c r="R31" s="3">
        <f>+R24/R23</f>
        <v>0.28464885021752639</v>
      </c>
      <c r="S31" s="3" t="e">
        <f>+S24/S23</f>
        <v>#DIV/0!</v>
      </c>
      <c r="V31" s="3">
        <f>+V24/V23</f>
        <v>0.15521924718665114</v>
      </c>
      <c r="W31" s="3">
        <f>+W24/W23</f>
        <v>0.16431696645600388</v>
      </c>
      <c r="X31" s="3">
        <f>+X24/X23</f>
        <v>0.11206896551724138</v>
      </c>
      <c r="Y31" s="3">
        <f>+Y24/Y23</f>
        <v>0.14324324324324325</v>
      </c>
      <c r="Z31" s="3">
        <f>+Z24/Z23</f>
        <v>0.139984532095901</v>
      </c>
      <c r="AA31" s="3">
        <f>+AA24/AA23</f>
        <v>0.20092112838226828</v>
      </c>
      <c r="AB31" s="3">
        <f>+AB24/AB23</f>
        <v>0.23855190601774154</v>
      </c>
      <c r="AC31" s="3">
        <f>+AC24/AC23</f>
        <v>0.26307922272047835</v>
      </c>
      <c r="AD31" s="3">
        <f>+AD24/AD23</f>
        <v>0.27733535583364932</v>
      </c>
      <c r="AE31" s="3">
        <f>+AE24/AE23</f>
        <v>0.28659532015236711</v>
      </c>
      <c r="AF31" s="3">
        <f>+AF24/AF23</f>
        <v>0.29508196721311475</v>
      </c>
      <c r="AG31" s="3">
        <f>+AG24/AG23</f>
        <v>0.21</v>
      </c>
      <c r="AH31" s="3">
        <f>+AH24/AH23</f>
        <v>0.21</v>
      </c>
      <c r="AI31" s="3">
        <f>+AI24/AI23</f>
        <v>0.21</v>
      </c>
      <c r="AJ31" s="3">
        <f>+AJ24/AJ23</f>
        <v>0.21</v>
      </c>
      <c r="AK31" s="3">
        <f>+AK24/AK23</f>
        <v>0.21</v>
      </c>
      <c r="AL31" s="3">
        <f>+AL24/AL23</f>
        <v>0.21</v>
      </c>
      <c r="AM31" s="3">
        <f>+AM24/AM23</f>
        <v>0.21000000000000002</v>
      </c>
      <c r="AN31" s="3">
        <f>+AN24/AN23</f>
        <v>0.21</v>
      </c>
      <c r="AO31" s="3">
        <f>+AO24/AO23</f>
        <v>0.21</v>
      </c>
      <c r="AP31" s="3">
        <f>+AP24/AP23</f>
        <v>0.21</v>
      </c>
      <c r="AR31" s="3" t="s">
        <v>9</v>
      </c>
      <c r="AS31" s="1">
        <f>+NPV(AS29,AG25:EM25)+[1]Main!K7-[1]Main!K8</f>
        <v>76708.377711470486</v>
      </c>
    </row>
    <row r="32" spans="2:143" s="3" customFormat="1" x14ac:dyDescent="0.2">
      <c r="B32" s="3" t="s">
        <v>8</v>
      </c>
      <c r="V32" s="3">
        <f>+V15/V10</f>
        <v>2.4386367649655658E-2</v>
      </c>
      <c r="W32" s="3">
        <f>+W15/W10</f>
        <v>2.8110754685125781E-2</v>
      </c>
      <c r="X32" s="3">
        <f>+X15/X10</f>
        <v>2.4017162591132662E-2</v>
      </c>
      <c r="Y32" s="3">
        <f>+Y15/Y10</f>
        <v>2.4336576004235326E-2</v>
      </c>
      <c r="Z32" s="3">
        <f>+Z15/Z10</f>
        <v>5.3484971567831031E-2</v>
      </c>
      <c r="AA32" s="3">
        <f>+AA15/AA10</f>
        <v>5.8161380464470093E-2</v>
      </c>
      <c r="AB32" s="3">
        <f>+AB15/AB10</f>
        <v>5.7407518436357094E-2</v>
      </c>
      <c r="AC32" s="3">
        <f>+AC15/AC10</f>
        <v>4.6093434621453995E-2</v>
      </c>
      <c r="AD32" s="3">
        <f>+AD15/AD10</f>
        <v>4.4231013596509806E-2</v>
      </c>
      <c r="AE32" s="3">
        <f>+AE15/AE10</f>
        <v>5.4783629736539545E-2</v>
      </c>
      <c r="AF32" s="3">
        <f>+AF15/AF10</f>
        <v>5.6066329318413988E-2</v>
      </c>
      <c r="AG32" s="3">
        <f>+AG15/AG10</f>
        <v>0.06</v>
      </c>
      <c r="AH32" s="3">
        <f>+AH15/AH10</f>
        <v>6.0000000000000005E-2</v>
      </c>
      <c r="AI32" s="3">
        <f>+AI15/AI10</f>
        <v>0.06</v>
      </c>
      <c r="AJ32" s="3">
        <f>+AJ15/AJ10</f>
        <v>6.0000000000000005E-2</v>
      </c>
      <c r="AK32" s="3">
        <f>+AK15/AK10</f>
        <v>0.06</v>
      </c>
      <c r="AL32" s="3">
        <f>+AL15/AL10</f>
        <v>0.06</v>
      </c>
      <c r="AM32" s="3">
        <f>+AM15/AM10</f>
        <v>6.0000000000000005E-2</v>
      </c>
      <c r="AN32" s="3">
        <f>+AN15/AN10</f>
        <v>5.9999999999999991E-2</v>
      </c>
      <c r="AO32" s="3">
        <f>+AO15/AO10</f>
        <v>0.06</v>
      </c>
      <c r="AP32" s="3">
        <f>+AP15/AP10</f>
        <v>5.9999999999999991E-2</v>
      </c>
      <c r="AR32" s="3" t="s">
        <v>7</v>
      </c>
      <c r="AS32" s="4">
        <f>+AS31/[1]Main!K5</f>
        <v>64.57741286920907</v>
      </c>
    </row>
    <row r="33" spans="2:45" s="3" customFormat="1" x14ac:dyDescent="0.2">
      <c r="AR33" s="3" t="s">
        <v>6</v>
      </c>
      <c r="AS33" s="4">
        <v>39.22</v>
      </c>
    </row>
    <row r="34" spans="2:45" s="2" customFormat="1" x14ac:dyDescent="0.2">
      <c r="B34" s="2" t="s">
        <v>5</v>
      </c>
      <c r="K34" s="2" t="e">
        <f>+K10/G10-1</f>
        <v>#DIV/0!</v>
      </c>
      <c r="L34" s="2" t="e">
        <f>+L10/H10-1</f>
        <v>#DIV/0!</v>
      </c>
      <c r="M34" s="2" t="e">
        <f>+M10/I10-1</f>
        <v>#DIV/0!</v>
      </c>
      <c r="N34" s="2" t="e">
        <f>+N10/J10-1</f>
        <v>#DIV/0!</v>
      </c>
      <c r="O34" s="2">
        <f>+O10/K10-1</f>
        <v>-3.1886413615068387E-2</v>
      </c>
      <c r="P34" s="2">
        <f>+P10/L10-1</f>
        <v>2.7122524136558246E-2</v>
      </c>
      <c r="Q34" s="2">
        <f>+Q10/M10-1</f>
        <v>6.1552737395607737E-2</v>
      </c>
      <c r="R34" s="2">
        <f>+R10/N10-1</f>
        <v>6.3518830803822368E-2</v>
      </c>
      <c r="S34" s="2">
        <f>+S10/O10-1</f>
        <v>2.6566589304231947E-2</v>
      </c>
      <c r="W34" s="2">
        <f>+W10/V10-1</f>
        <v>4.5912060745188166E-2</v>
      </c>
      <c r="X34" s="2">
        <f>+X10/W10-1</f>
        <v>-3.2010805335134229E-2</v>
      </c>
      <c r="Y34" s="2">
        <f>+Y10/X10-1</f>
        <v>5.4243555307496472E-2</v>
      </c>
      <c r="Z34" s="2">
        <f>+Z10/Y10-1</f>
        <v>1.8297928661240137E-2</v>
      </c>
      <c r="AA34" s="2">
        <f>+AA10/Z10-1</f>
        <v>2.9098294069861863E-2</v>
      </c>
      <c r="AB34" s="2">
        <f>+AB10/AA10-1</f>
        <v>5.3283023633981186E-2</v>
      </c>
      <c r="AC34" s="2">
        <f>+AC10/AB10-1</f>
        <v>0.22529827927333779</v>
      </c>
      <c r="AD34" s="2">
        <f>+AD10/AC10-1</f>
        <v>0.15522282163259815</v>
      </c>
      <c r="AE34" s="2">
        <f>+AE10/AD10-1</f>
        <v>-0.13424965055699101</v>
      </c>
      <c r="AF34" s="2">
        <f>+AF10/AE10-1</f>
        <v>2.9697399642848454E-2</v>
      </c>
      <c r="AG34" s="2">
        <f>+AG10/AF10-1</f>
        <v>2.4588411374812935E-2</v>
      </c>
      <c r="AH34" s="2">
        <f>+AH10/AG10-1</f>
        <v>3.6588759042849084E-2</v>
      </c>
      <c r="AI34" s="2">
        <f>+AI10/AH10-1</f>
        <v>3.5476222430993687E-2</v>
      </c>
      <c r="AJ34" s="2">
        <f>+AJ10/AI10-1</f>
        <v>3.6999999999999922E-2</v>
      </c>
      <c r="AK34" s="2">
        <f>+AK10/AJ10-1</f>
        <v>3.6999999999999922E-2</v>
      </c>
      <c r="AL34" s="2">
        <f>+AL10/AK10-1</f>
        <v>3.6999999999999922E-2</v>
      </c>
      <c r="AM34" s="2">
        <f>+AM10/AL10-1</f>
        <v>3.6999999999999922E-2</v>
      </c>
      <c r="AN34" s="2">
        <f>+AN10/AM10-1</f>
        <v>3.6999999999999922E-2</v>
      </c>
      <c r="AO34" s="2">
        <f>+AO10/AN10-1</f>
        <v>3.6999999999999922E-2</v>
      </c>
      <c r="AP34" s="2">
        <f>+AP10/AO10-1</f>
        <v>3.6999999999999922E-2</v>
      </c>
      <c r="AR34" s="2" t="s">
        <v>4</v>
      </c>
      <c r="AS34" s="2">
        <f>+AS32/AS33-1</f>
        <v>0.64654290844490236</v>
      </c>
    </row>
    <row r="35" spans="2:45" s="2" customFormat="1" x14ac:dyDescent="0.2">
      <c r="AR35" s="3"/>
    </row>
    <row r="36" spans="2:45" x14ac:dyDescent="0.2">
      <c r="B36" s="1" t="s">
        <v>3</v>
      </c>
      <c r="N36" s="1">
        <f>+SUM(K25:N25)</f>
        <v>3933</v>
      </c>
      <c r="O36" s="1">
        <f>+SUM(L25:O25)</f>
        <v>3746</v>
      </c>
      <c r="P36" s="1">
        <f>+SUM(M25:P25)</f>
        <v>3520</v>
      </c>
      <c r="Q36" s="1">
        <f>+SUM(N25:Q25)</f>
        <v>3478</v>
      </c>
      <c r="R36" s="1">
        <f>+SUM(O25:R25)</f>
        <v>3569</v>
      </c>
    </row>
    <row r="38" spans="2:45" x14ac:dyDescent="0.2">
      <c r="B38" s="1" t="s">
        <v>2</v>
      </c>
      <c r="K38" s="1">
        <v>2395</v>
      </c>
      <c r="L38" s="1">
        <v>1849</v>
      </c>
      <c r="M38" s="1">
        <v>2534</v>
      </c>
      <c r="N38" s="1">
        <f>+AE38-SUM(K38:M38)</f>
        <v>2480</v>
      </c>
      <c r="O38" s="1">
        <v>2001</v>
      </c>
      <c r="P38" s="1">
        <v>1611</v>
      </c>
      <c r="Q38" s="1">
        <v>2043</v>
      </c>
      <c r="R38" s="1">
        <f>+AF38-SUM(O38:Q38)</f>
        <v>3067</v>
      </c>
      <c r="V38" s="1">
        <v>3040</v>
      </c>
      <c r="W38" s="1">
        <v>3444</v>
      </c>
      <c r="X38" s="1">
        <v>2439</v>
      </c>
      <c r="Y38" s="1">
        <v>3297</v>
      </c>
      <c r="Z38" s="1">
        <v>5796</v>
      </c>
      <c r="AA38" s="1">
        <v>6049</v>
      </c>
      <c r="AB38" s="1">
        <v>7699</v>
      </c>
      <c r="AC38" s="1">
        <v>9993</v>
      </c>
      <c r="AD38" s="1">
        <v>10965</v>
      </c>
      <c r="AE38" s="1">
        <v>9258</v>
      </c>
      <c r="AF38" s="1">
        <v>8722</v>
      </c>
    </row>
    <row r="39" spans="2:45" x14ac:dyDescent="0.2">
      <c r="B39" s="1" t="s">
        <v>1</v>
      </c>
      <c r="K39" s="1">
        <v>-809</v>
      </c>
      <c r="L39" s="1">
        <v>-793</v>
      </c>
      <c r="M39" s="1">
        <v>-846</v>
      </c>
      <c r="N39" s="1">
        <f>+AE39-SUM(K39:M39)</f>
        <v>-933</v>
      </c>
      <c r="O39" s="1">
        <v>-717</v>
      </c>
      <c r="P39" s="1">
        <v>-580</v>
      </c>
      <c r="Q39" s="1">
        <v>-641</v>
      </c>
      <c r="R39" s="1">
        <f>+AF39-SUM(O39:Q39)</f>
        <v>-998</v>
      </c>
      <c r="V39" s="1">
        <v>-1750</v>
      </c>
      <c r="W39" s="1">
        <v>-2104</v>
      </c>
      <c r="X39" s="1">
        <v>-1966</v>
      </c>
      <c r="Y39" s="1">
        <v>-2203</v>
      </c>
      <c r="Z39" s="1">
        <v>-2649</v>
      </c>
      <c r="AA39" s="1">
        <v>-3612</v>
      </c>
      <c r="AB39" s="1">
        <v>-3736</v>
      </c>
      <c r="AC39" s="1">
        <v>-3736</v>
      </c>
      <c r="AD39" s="1">
        <v>-3912</v>
      </c>
      <c r="AE39" s="1">
        <v>-3381</v>
      </c>
      <c r="AF39" s="1">
        <v>-2936</v>
      </c>
    </row>
    <row r="40" spans="2:45" x14ac:dyDescent="0.2">
      <c r="B40" s="1" t="s">
        <v>0</v>
      </c>
      <c r="C40" s="1">
        <f>+C38+C39</f>
        <v>0</v>
      </c>
      <c r="D40" s="1">
        <f>+D38+D39</f>
        <v>0</v>
      </c>
      <c r="E40" s="1">
        <f>+E38+E39</f>
        <v>0</v>
      </c>
      <c r="F40" s="1">
        <f>+F38+F39</f>
        <v>0</v>
      </c>
      <c r="G40" s="1">
        <f>+G38+G39</f>
        <v>0</v>
      </c>
      <c r="H40" s="1">
        <f>+H38+H39</f>
        <v>0</v>
      </c>
      <c r="I40" s="1">
        <f>+I38+I39</f>
        <v>0</v>
      </c>
      <c r="J40" s="1">
        <f>+J38+J39</f>
        <v>0</v>
      </c>
      <c r="K40" s="1">
        <f>+K38+K39</f>
        <v>1586</v>
      </c>
      <c r="L40" s="1">
        <f>+L38+L39</f>
        <v>1056</v>
      </c>
      <c r="M40" s="1">
        <f>+M38+M39</f>
        <v>1688</v>
      </c>
      <c r="N40" s="1">
        <f>+N38+N39</f>
        <v>1547</v>
      </c>
      <c r="O40" s="1">
        <f>+O38+O39</f>
        <v>1284</v>
      </c>
      <c r="P40" s="1">
        <f>+P38+P39</f>
        <v>1031</v>
      </c>
      <c r="Q40" s="1">
        <f>+Q38+Q39</f>
        <v>1402</v>
      </c>
      <c r="R40" s="1">
        <f>+R38+R39</f>
        <v>2069</v>
      </c>
      <c r="V40" s="1">
        <f>+V38+V39</f>
        <v>1290</v>
      </c>
      <c r="W40" s="1">
        <f>+W38+W39</f>
        <v>1340</v>
      </c>
      <c r="X40" s="1">
        <f>+X38+X39</f>
        <v>473</v>
      </c>
      <c r="Y40" s="1">
        <f>+Y38+Y39</f>
        <v>1094</v>
      </c>
      <c r="Z40" s="1">
        <f>+Z38+Z39</f>
        <v>3147</v>
      </c>
      <c r="AA40" s="1">
        <f>+AA38+AA39</f>
        <v>2437</v>
      </c>
      <c r="AB40" s="1">
        <f>+AB38+AB39</f>
        <v>3963</v>
      </c>
      <c r="AC40" s="1">
        <f>+AC38+AC39</f>
        <v>6257</v>
      </c>
      <c r="AD40" s="1">
        <f>+AD38+AD39</f>
        <v>7053</v>
      </c>
      <c r="AE40" s="1">
        <f>+AE38+AE39</f>
        <v>5877</v>
      </c>
      <c r="AF40" s="1">
        <f>+AF38+AF39</f>
        <v>5786</v>
      </c>
    </row>
  </sheetData>
  <hyperlinks>
    <hyperlink ref="A1" location="Main!A1" display="Main" xr:uid="{081CD7D7-5C9D-47D3-B85B-ADAD9FBE052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2025-04-09T15:21:48Z</dcterms:created>
  <dcterms:modified xsi:type="dcterms:W3CDTF">2025-04-09T15:22:23Z</dcterms:modified>
</cp:coreProperties>
</file>