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nni\Desktop\CompanyResearchModels\"/>
    </mc:Choice>
  </mc:AlternateContent>
  <xr:revisionPtr revIDLastSave="0" documentId="13_ncr:1_{176E4BA8-1A41-49AA-BC09-3C4486E7B9DC}" xr6:coauthVersionLast="47" xr6:coauthVersionMax="47" xr10:uidLastSave="{00000000-0000-0000-0000-000000000000}"/>
  <bookViews>
    <workbookView xWindow="375" yWindow="315" windowWidth="13995" windowHeight="15375" activeTab="1" xr2:uid="{4FB9EC0C-33B1-4E4D-83D4-26F7B4FA8247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24" i="2" l="1"/>
  <c r="AD21" i="2"/>
  <c r="AD20" i="2"/>
  <c r="AD19" i="2"/>
  <c r="AD18" i="2"/>
  <c r="AD15" i="2"/>
  <c r="AD16" i="2"/>
  <c r="AD14" i="2"/>
  <c r="AD13" i="2"/>
  <c r="AD12" i="2"/>
  <c r="AD11" i="2"/>
  <c r="AD9" i="2"/>
  <c r="AD10" i="2" s="1"/>
  <c r="AD8" i="2"/>
  <c r="AD7" i="2"/>
  <c r="AD6" i="2"/>
  <c r="AD5" i="2"/>
  <c r="AD4" i="2"/>
  <c r="AD3" i="2"/>
  <c r="R21" i="2"/>
  <c r="Q21" i="2"/>
  <c r="P21" i="2"/>
  <c r="R20" i="2"/>
  <c r="Q20" i="2"/>
  <c r="P20" i="2"/>
  <c r="R19" i="2"/>
  <c r="Q19" i="2"/>
  <c r="P19" i="2"/>
  <c r="R18" i="2"/>
  <c r="Q18" i="2"/>
  <c r="P18" i="2"/>
  <c r="R24" i="2"/>
  <c r="Q24" i="2"/>
  <c r="P24" i="2"/>
  <c r="R23" i="2"/>
  <c r="Q23" i="2"/>
  <c r="P23" i="2"/>
  <c r="R15" i="2"/>
  <c r="Q15" i="2"/>
  <c r="P15" i="2"/>
  <c r="R16" i="2"/>
  <c r="Q16" i="2"/>
  <c r="P16" i="2"/>
  <c r="R14" i="2"/>
  <c r="Q14" i="2"/>
  <c r="P14" i="2"/>
  <c r="R13" i="2"/>
  <c r="Q13" i="2"/>
  <c r="P13" i="2"/>
  <c r="R12" i="2"/>
  <c r="Q12" i="2"/>
  <c r="P12" i="2"/>
  <c r="R11" i="2"/>
  <c r="Q11" i="2"/>
  <c r="P11" i="2"/>
  <c r="R9" i="2"/>
  <c r="R10" i="2" s="1"/>
  <c r="Q9" i="2"/>
  <c r="Q10" i="2" s="1"/>
  <c r="P9" i="2"/>
  <c r="P10" i="2" s="1"/>
  <c r="Q8" i="2"/>
  <c r="R8" i="2" s="1"/>
  <c r="P8" i="2"/>
  <c r="Q7" i="2"/>
  <c r="R7" i="2" s="1"/>
  <c r="P7" i="2"/>
  <c r="R6" i="2"/>
  <c r="Q6" i="2"/>
  <c r="P6" i="2"/>
  <c r="R4" i="2"/>
  <c r="Q4" i="2"/>
  <c r="P4" i="2"/>
  <c r="R5" i="2"/>
  <c r="Q5" i="2"/>
  <c r="P5" i="2"/>
  <c r="Q3" i="2"/>
  <c r="R3" i="2" s="1"/>
  <c r="P3" i="2"/>
  <c r="O23" i="2"/>
  <c r="N23" i="2"/>
  <c r="M23" i="2"/>
  <c r="L23" i="2"/>
  <c r="K23" i="2"/>
  <c r="J23" i="2"/>
  <c r="I23" i="2"/>
  <c r="H23" i="2"/>
  <c r="G23" i="2"/>
  <c r="F23" i="2"/>
  <c r="E23" i="2"/>
  <c r="D23" i="2"/>
  <c r="N27" i="2"/>
  <c r="N33" i="2"/>
  <c r="O73" i="2"/>
  <c r="K73" i="2"/>
  <c r="N72" i="2"/>
  <c r="N73" i="2" s="1"/>
  <c r="N59" i="2"/>
  <c r="M56" i="2"/>
  <c r="N56" i="2" s="1"/>
  <c r="L71" i="2"/>
  <c r="L73" i="2" s="1"/>
  <c r="L63" i="2"/>
  <c r="L62" i="2"/>
  <c r="M62" i="2" s="1"/>
  <c r="L61" i="2"/>
  <c r="M61" i="2" s="1"/>
  <c r="L60" i="2"/>
  <c r="M60" i="2" s="1"/>
  <c r="L59" i="2"/>
  <c r="M59" i="2" s="1"/>
  <c r="L58" i="2"/>
  <c r="M58" i="2" s="1"/>
  <c r="N58" i="2" s="1"/>
  <c r="L57" i="2"/>
  <c r="M57" i="2" s="1"/>
  <c r="L55" i="2"/>
  <c r="M55" i="2" s="1"/>
  <c r="L54" i="2"/>
  <c r="M54" i="2" s="1"/>
  <c r="L53" i="2"/>
  <c r="M53" i="2" s="1"/>
  <c r="L52" i="2"/>
  <c r="M52" i="2" s="1"/>
  <c r="K67" i="2"/>
  <c r="K68" i="2" s="1"/>
  <c r="L68" i="2" s="1"/>
  <c r="K64" i="2"/>
  <c r="K65" i="2" s="1"/>
  <c r="K75" i="2" s="1"/>
  <c r="O67" i="2"/>
  <c r="O68" i="2" s="1"/>
  <c r="O64" i="2"/>
  <c r="O65" i="2" s="1"/>
  <c r="O43" i="2"/>
  <c r="O45" i="2" s="1"/>
  <c r="O27" i="2"/>
  <c r="O33" i="2"/>
  <c r="N43" i="2"/>
  <c r="N45" i="2" s="1"/>
  <c r="M43" i="2"/>
  <c r="M45" i="2" s="1"/>
  <c r="M33" i="2"/>
  <c r="M37" i="2" s="1"/>
  <c r="K43" i="2"/>
  <c r="K45" i="2" s="1"/>
  <c r="K33" i="2"/>
  <c r="K37" i="2" s="1"/>
  <c r="L43" i="2"/>
  <c r="L45" i="2" s="1"/>
  <c r="L33" i="2"/>
  <c r="L37" i="2" s="1"/>
  <c r="F13" i="2"/>
  <c r="F11" i="2"/>
  <c r="F8" i="2"/>
  <c r="F7" i="2"/>
  <c r="F6" i="2"/>
  <c r="F4" i="2"/>
  <c r="F3" i="2"/>
  <c r="J13" i="2"/>
  <c r="J11" i="2"/>
  <c r="J8" i="2"/>
  <c r="J7" i="2"/>
  <c r="J6" i="2"/>
  <c r="J4" i="2"/>
  <c r="J3" i="2"/>
  <c r="N13" i="2"/>
  <c r="N11" i="2"/>
  <c r="N8" i="2"/>
  <c r="N7" i="2"/>
  <c r="N6" i="2"/>
  <c r="N4" i="2"/>
  <c r="N3" i="2"/>
  <c r="E16" i="2"/>
  <c r="F16" i="2" s="1"/>
  <c r="E9" i="2"/>
  <c r="E5" i="2"/>
  <c r="D9" i="2"/>
  <c r="D5" i="2"/>
  <c r="C9" i="2"/>
  <c r="C5" i="2"/>
  <c r="C18" i="2" s="1"/>
  <c r="G16" i="2"/>
  <c r="G24" i="2"/>
  <c r="G9" i="2"/>
  <c r="G5" i="2"/>
  <c r="G18" i="2" s="1"/>
  <c r="I16" i="2"/>
  <c r="H24" i="2"/>
  <c r="H16" i="2"/>
  <c r="H9" i="2"/>
  <c r="H5" i="2"/>
  <c r="L16" i="2"/>
  <c r="L24" i="2"/>
  <c r="L9" i="2"/>
  <c r="L5" i="2"/>
  <c r="I24" i="2"/>
  <c r="I9" i="2"/>
  <c r="I5" i="2"/>
  <c r="I18" i="2" s="1"/>
  <c r="M16" i="2"/>
  <c r="M24" i="2"/>
  <c r="M9" i="2"/>
  <c r="M5" i="2"/>
  <c r="M18" i="2" s="1"/>
  <c r="AA24" i="2"/>
  <c r="AA16" i="2"/>
  <c r="AA9" i="2"/>
  <c r="AA5" i="2"/>
  <c r="AB16" i="2"/>
  <c r="AB24" i="2"/>
  <c r="AB9" i="2"/>
  <c r="AB5" i="2"/>
  <c r="AC24" i="2"/>
  <c r="AC16" i="2"/>
  <c r="AC9" i="2"/>
  <c r="AC5" i="2"/>
  <c r="AC18" i="2" s="1"/>
  <c r="K24" i="2"/>
  <c r="K16" i="2"/>
  <c r="K9" i="2"/>
  <c r="K5" i="2"/>
  <c r="O24" i="2"/>
  <c r="O16" i="2"/>
  <c r="K4" i="1"/>
  <c r="K5" i="1" s="1"/>
  <c r="K8" i="1" s="1"/>
  <c r="K9" i="1" s="1"/>
  <c r="O9" i="2"/>
  <c r="O5" i="2"/>
  <c r="O18" i="2" s="1"/>
  <c r="U2" i="2"/>
  <c r="V2" i="2" s="1"/>
  <c r="W2" i="2" s="1"/>
  <c r="X2" i="2" s="1"/>
  <c r="Y2" i="2" s="1"/>
  <c r="Z2" i="2" s="1"/>
  <c r="AA2" i="2" s="1"/>
  <c r="AB2" i="2" s="1"/>
  <c r="AC2" i="2" s="1"/>
  <c r="AD2" i="2" s="1"/>
  <c r="AE2" i="2" s="1"/>
  <c r="AF2" i="2" s="1"/>
  <c r="AG2" i="2" s="1"/>
  <c r="AH2" i="2" s="1"/>
  <c r="AI2" i="2" s="1"/>
  <c r="AJ2" i="2" s="1"/>
  <c r="AK2" i="2" s="1"/>
  <c r="AL2" i="2" s="1"/>
  <c r="AM2" i="2" s="1"/>
  <c r="AN2" i="2" s="1"/>
  <c r="AO2" i="2" s="1"/>
  <c r="AP2" i="2" s="1"/>
  <c r="AQ2" i="2" s="1"/>
  <c r="AR2" i="2" s="1"/>
  <c r="AS2" i="2" s="1"/>
  <c r="K6" i="1"/>
  <c r="N52" i="2" l="1"/>
  <c r="N37" i="2"/>
  <c r="N55" i="2"/>
  <c r="M71" i="2"/>
  <c r="M73" i="2" s="1"/>
  <c r="N57" i="2"/>
  <c r="N60" i="2"/>
  <c r="N61" i="2"/>
  <c r="O77" i="2"/>
  <c r="N62" i="2"/>
  <c r="N53" i="2"/>
  <c r="N67" i="2"/>
  <c r="K77" i="2"/>
  <c r="L67" i="2"/>
  <c r="M67" i="2" s="1"/>
  <c r="N54" i="2"/>
  <c r="L64" i="2"/>
  <c r="L65" i="2" s="1"/>
  <c r="M63" i="2"/>
  <c r="N63" i="2" s="1"/>
  <c r="M68" i="2"/>
  <c r="N68" i="2" s="1"/>
  <c r="J16" i="2"/>
  <c r="O75" i="2"/>
  <c r="O37" i="2"/>
  <c r="N9" i="2"/>
  <c r="N5" i="2"/>
  <c r="N18" i="2" s="1"/>
  <c r="F9" i="2"/>
  <c r="N16" i="2"/>
  <c r="N24" i="2"/>
  <c r="J9" i="2"/>
  <c r="O10" i="2"/>
  <c r="J24" i="2"/>
  <c r="F5" i="2"/>
  <c r="F18" i="2" s="1"/>
  <c r="J5" i="2"/>
  <c r="J18" i="2" s="1"/>
  <c r="E10" i="2"/>
  <c r="E12" i="2" s="1"/>
  <c r="E18" i="2"/>
  <c r="D10" i="2"/>
  <c r="D12" i="2" s="1"/>
  <c r="D18" i="2"/>
  <c r="C10" i="2"/>
  <c r="G10" i="2"/>
  <c r="H10" i="2"/>
  <c r="H19" i="2" s="1"/>
  <c r="H18" i="2"/>
  <c r="L10" i="2"/>
  <c r="L19" i="2" s="1"/>
  <c r="L18" i="2"/>
  <c r="I10" i="2"/>
  <c r="I19" i="2" s="1"/>
  <c r="M10" i="2"/>
  <c r="AA10" i="2"/>
  <c r="AA19" i="2" s="1"/>
  <c r="AA18" i="2"/>
  <c r="AB10" i="2"/>
  <c r="AB19" i="2" s="1"/>
  <c r="AB18" i="2"/>
  <c r="AC10" i="2"/>
  <c r="K10" i="2"/>
  <c r="K12" i="2" s="1"/>
  <c r="K18" i="2"/>
  <c r="L77" i="2" l="1"/>
  <c r="L75" i="2"/>
  <c r="N64" i="2"/>
  <c r="N65" i="2" s="1"/>
  <c r="M64" i="2"/>
  <c r="M65" i="2" s="1"/>
  <c r="O80" i="2" s="1"/>
  <c r="N10" i="2"/>
  <c r="L12" i="2"/>
  <c r="L21" i="2" s="1"/>
  <c r="O12" i="2"/>
  <c r="O19" i="2"/>
  <c r="J10" i="2"/>
  <c r="D19" i="2"/>
  <c r="F10" i="2"/>
  <c r="E19" i="2"/>
  <c r="E21" i="2"/>
  <c r="E14" i="2"/>
  <c r="D21" i="2"/>
  <c r="D14" i="2"/>
  <c r="C19" i="2"/>
  <c r="C12" i="2"/>
  <c r="G19" i="2"/>
  <c r="G12" i="2"/>
  <c r="H12" i="2"/>
  <c r="H21" i="2" s="1"/>
  <c r="I12" i="2"/>
  <c r="I21" i="2" s="1"/>
  <c r="M19" i="2"/>
  <c r="M12" i="2"/>
  <c r="AA12" i="2"/>
  <c r="AA21" i="2" s="1"/>
  <c r="AB12" i="2"/>
  <c r="AB21" i="2" s="1"/>
  <c r="AC12" i="2"/>
  <c r="AC19" i="2"/>
  <c r="K19" i="2"/>
  <c r="K21" i="2"/>
  <c r="K14" i="2"/>
  <c r="K51" i="2" s="1"/>
  <c r="N77" i="2" l="1"/>
  <c r="N75" i="2"/>
  <c r="N80" i="2"/>
  <c r="M77" i="2"/>
  <c r="N78" i="2" s="1"/>
  <c r="M75" i="2"/>
  <c r="L14" i="2"/>
  <c r="L51" i="2" s="1"/>
  <c r="N12" i="2"/>
  <c r="N19" i="2"/>
  <c r="F19" i="2"/>
  <c r="F12" i="2"/>
  <c r="J12" i="2"/>
  <c r="J19" i="2"/>
  <c r="O14" i="2"/>
  <c r="O21" i="2"/>
  <c r="E20" i="2"/>
  <c r="E15" i="2"/>
  <c r="D15" i="2"/>
  <c r="D20" i="2"/>
  <c r="C21" i="2"/>
  <c r="C14" i="2"/>
  <c r="G21" i="2"/>
  <c r="G14" i="2"/>
  <c r="H14" i="2"/>
  <c r="I14" i="2"/>
  <c r="M21" i="2"/>
  <c r="M14" i="2"/>
  <c r="AA14" i="2"/>
  <c r="AA15" i="2" s="1"/>
  <c r="AB14" i="2"/>
  <c r="AB20" i="2" s="1"/>
  <c r="AC21" i="2"/>
  <c r="AC14" i="2"/>
  <c r="K20" i="2"/>
  <c r="K15" i="2"/>
  <c r="O78" i="2" l="1"/>
  <c r="L47" i="2"/>
  <c r="L15" i="2"/>
  <c r="L20" i="2"/>
  <c r="M47" i="2"/>
  <c r="M51" i="2"/>
  <c r="O51" i="2"/>
  <c r="O47" i="2"/>
  <c r="I20" i="2"/>
  <c r="L48" i="2"/>
  <c r="L49" i="2" s="1"/>
  <c r="H20" i="2"/>
  <c r="N14" i="2"/>
  <c r="N21" i="2"/>
  <c r="I15" i="2"/>
  <c r="F14" i="2"/>
  <c r="F21" i="2"/>
  <c r="O20" i="2"/>
  <c r="O15" i="2"/>
  <c r="J21" i="2"/>
  <c r="J14" i="2"/>
  <c r="M48" i="2" s="1"/>
  <c r="M49" i="2" s="1"/>
  <c r="C20" i="2"/>
  <c r="C15" i="2"/>
  <c r="G20" i="2"/>
  <c r="G15" i="2"/>
  <c r="H15" i="2"/>
  <c r="M15" i="2"/>
  <c r="M20" i="2"/>
  <c r="AA20" i="2"/>
  <c r="AB15" i="2"/>
  <c r="AC20" i="2"/>
  <c r="AC15" i="2"/>
  <c r="N51" i="2" l="1"/>
  <c r="N47" i="2"/>
  <c r="K48" i="2"/>
  <c r="K49" i="2" s="1"/>
  <c r="N48" i="2"/>
  <c r="N49" i="2" s="1"/>
  <c r="O48" i="2"/>
  <c r="O49" i="2" s="1"/>
  <c r="N15" i="2"/>
  <c r="N20" i="2"/>
  <c r="J20" i="2"/>
  <c r="J15" i="2"/>
  <c r="F20" i="2"/>
  <c r="F15" i="2"/>
</calcChain>
</file>

<file path=xl/sharedStrings.xml><?xml version="1.0" encoding="utf-8"?>
<sst xmlns="http://schemas.openxmlformats.org/spreadsheetml/2006/main" count="90" uniqueCount="83">
  <si>
    <t>Price</t>
  </si>
  <si>
    <t>Shares</t>
  </si>
  <si>
    <t>MC</t>
  </si>
  <si>
    <t>Cash</t>
  </si>
  <si>
    <t>Debt</t>
  </si>
  <si>
    <t>EV</t>
  </si>
  <si>
    <t>Revenue</t>
  </si>
  <si>
    <t>COGS</t>
  </si>
  <si>
    <t>Gross profit</t>
  </si>
  <si>
    <t>R&amp;D</t>
  </si>
  <si>
    <t>S&amp;M</t>
  </si>
  <si>
    <t>G&amp;A</t>
  </si>
  <si>
    <t>OpEx</t>
  </si>
  <si>
    <t>OpInc</t>
  </si>
  <si>
    <t>Interest income</t>
  </si>
  <si>
    <t>Pretax</t>
  </si>
  <si>
    <t>Taxes</t>
  </si>
  <si>
    <t>Net income</t>
  </si>
  <si>
    <t>EPS</t>
  </si>
  <si>
    <t>Gross margin</t>
  </si>
  <si>
    <t>Operating margin</t>
  </si>
  <si>
    <t>Net margin</t>
  </si>
  <si>
    <t>Tax rate</t>
  </si>
  <si>
    <t>Revenue y/y</t>
  </si>
  <si>
    <t>Q121</t>
  </si>
  <si>
    <t>Q221</t>
  </si>
  <si>
    <t>Q321</t>
  </si>
  <si>
    <t>Q421</t>
  </si>
  <si>
    <t>Q122</t>
  </si>
  <si>
    <t>Q222</t>
  </si>
  <si>
    <t>Q322</t>
  </si>
  <si>
    <t>Q422</t>
  </si>
  <si>
    <t>Q123</t>
  </si>
  <si>
    <t>Q223</t>
  </si>
  <si>
    <t>Q323</t>
  </si>
  <si>
    <t>Q423</t>
  </si>
  <si>
    <t>Q124</t>
  </si>
  <si>
    <t>Q224</t>
  </si>
  <si>
    <t>Q324</t>
  </si>
  <si>
    <t>Q424</t>
  </si>
  <si>
    <t>Net cash</t>
  </si>
  <si>
    <t>A/R</t>
  </si>
  <si>
    <t>Cost of revenue</t>
  </si>
  <si>
    <t>Deferred cost of revenue</t>
  </si>
  <si>
    <t>Prepaid</t>
  </si>
  <si>
    <t>PP&amp;E</t>
  </si>
  <si>
    <t>Lease</t>
  </si>
  <si>
    <t>Other</t>
  </si>
  <si>
    <t>Assets</t>
  </si>
  <si>
    <t>A/P</t>
  </si>
  <si>
    <t>DR</t>
  </si>
  <si>
    <t>Income tax payable</t>
  </si>
  <si>
    <t>Accrued expense</t>
  </si>
  <si>
    <t>Long term lease</t>
  </si>
  <si>
    <t>Liabilties</t>
  </si>
  <si>
    <t>S/E</t>
  </si>
  <si>
    <t>L+S/E</t>
  </si>
  <si>
    <t>Goodwill</t>
  </si>
  <si>
    <t>DT</t>
  </si>
  <si>
    <t>Income tax receivables</t>
  </si>
  <si>
    <t>Cash flow TTM</t>
  </si>
  <si>
    <t>ROIC</t>
  </si>
  <si>
    <t>Rev+DR</t>
  </si>
  <si>
    <t>Model NI</t>
  </si>
  <si>
    <t>Reported NI</t>
  </si>
  <si>
    <t>D&amp;A</t>
  </si>
  <si>
    <t>SBC</t>
  </si>
  <si>
    <t>Sale of software</t>
  </si>
  <si>
    <t>Non current</t>
  </si>
  <si>
    <t>Working capital</t>
  </si>
  <si>
    <t>CFFO</t>
  </si>
  <si>
    <t>CapEx</t>
  </si>
  <si>
    <t>ESOP</t>
  </si>
  <si>
    <t>CFFI</t>
  </si>
  <si>
    <t>CFFF</t>
  </si>
  <si>
    <t>CIC</t>
  </si>
  <si>
    <t>FCF</t>
  </si>
  <si>
    <t>Loss on disposal</t>
  </si>
  <si>
    <t>Tax SCB</t>
  </si>
  <si>
    <t>Stock options</t>
  </si>
  <si>
    <t>TTM</t>
  </si>
  <si>
    <t>CFFO TTM</t>
  </si>
  <si>
    <t>Revenue q/q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</si>
</sst>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\x"/>
  </numFmts>
  <fonts count="2" x14ac:knownFonts="1"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3" fontId="0" fillId="0" borderId="0" xfId="0" applyNumberFormat="1"/>
    <xf numFmtId="3" fontId="1" fillId="0" borderId="0" xfId="0" applyNumberFormat="1" applyFont="1"/>
    <xf numFmtId="9" fontId="0" fillId="0" borderId="0" xfId="0" applyNumberFormat="1"/>
    <xf numFmtId="3" fontId="0" fillId="0" borderId="0" xfId="0" applyNumberFormat="1" applyAlignment="1">
      <alignment horizontal="right"/>
    </xf>
    <xf numFmtId="0" fontId="0" fillId="0" borderId="0" xfId="0" applyNumberFormat="1" applyAlignment="1">
      <alignment horizontal="right"/>
    </xf>
    <xf numFmtId="4" fontId="0" fillId="0" borderId="0" xfId="0" applyNumberFormat="1"/>
    <xf numFmtId="14" fontId="0" fillId="0" borderId="0" xfId="0" applyNumberFormat="1"/>
    <xf numFmtId="3" fontId="0" fillId="0" borderId="0" xfId="0" applyNumberFormat="1" applyFont="1"/>
    <xf numFmtId="9" fontId="1" fillId="0" borderId="0" xfId="0" applyNumberFormat="1" applyFont="1"/>
    <xf numFmtId="9" fontId="0" fillId="0" borderId="0" xfId="0" applyNumberFormat="1" applyFon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19050</xdr:colOff>
      <xdr:row>0</xdr:row>
      <xdr:rowOff>28575</xdr:rowOff>
    </xdr:from>
    <xdr:to>
      <xdr:col>15</xdr:col>
      <xdr:colOff>19050</xdr:colOff>
      <xdr:row>79</xdr:row>
      <xdr:rowOff>152400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82266D25-C5C7-83B5-0E8C-2603C6665A7F}"/>
            </a:ext>
          </a:extLst>
        </xdr:cNvPr>
        <xdr:cNvCxnSpPr/>
      </xdr:nvCxnSpPr>
      <xdr:spPr>
        <a:xfrm>
          <a:off x="9334500" y="28575"/>
          <a:ext cx="0" cy="127539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9525</xdr:colOff>
      <xdr:row>0</xdr:row>
      <xdr:rowOff>19050</xdr:rowOff>
    </xdr:from>
    <xdr:to>
      <xdr:col>29</xdr:col>
      <xdr:colOff>9525</xdr:colOff>
      <xdr:row>79</xdr:row>
      <xdr:rowOff>142875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FD75FED9-402E-411F-896B-3E4BAE677270}"/>
            </a:ext>
          </a:extLst>
        </xdr:cNvPr>
        <xdr:cNvCxnSpPr/>
      </xdr:nvCxnSpPr>
      <xdr:spPr>
        <a:xfrm>
          <a:off x="17859375" y="19050"/>
          <a:ext cx="0" cy="127539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283E0-72A4-4E23-957B-40410D473470}">
  <dimension ref="J3:K10"/>
  <sheetViews>
    <sheetView workbookViewId="0">
      <selection activeCell="K9" sqref="K9"/>
    </sheetView>
  </sheetViews>
  <sheetFormatPr defaultRowHeight="12.75" x14ac:dyDescent="0.2"/>
  <sheetData>
    <row r="3" spans="10:11" x14ac:dyDescent="0.2">
      <c r="J3" t="s">
        <v>0</v>
      </c>
      <c r="K3" s="1">
        <v>166</v>
      </c>
    </row>
    <row r="4" spans="10:11" x14ac:dyDescent="0.2">
      <c r="J4" t="s">
        <v>1</v>
      </c>
      <c r="K4" s="1">
        <f>36.989041+6.133077</f>
        <v>43.122118</v>
      </c>
    </row>
    <row r="5" spans="10:11" x14ac:dyDescent="0.2">
      <c r="J5" t="s">
        <v>2</v>
      </c>
      <c r="K5" s="1">
        <f>+K3*K4</f>
        <v>7158.2715879999996</v>
      </c>
    </row>
    <row r="6" spans="10:11" x14ac:dyDescent="0.2">
      <c r="J6" t="s">
        <v>3</v>
      </c>
      <c r="K6" s="1">
        <f>829.713+2.735</f>
        <v>832.44799999999998</v>
      </c>
    </row>
    <row r="7" spans="10:11" x14ac:dyDescent="0.2">
      <c r="J7" t="s">
        <v>4</v>
      </c>
      <c r="K7" s="1">
        <v>0</v>
      </c>
    </row>
    <row r="8" spans="10:11" x14ac:dyDescent="0.2">
      <c r="J8" t="s">
        <v>5</v>
      </c>
      <c r="K8" s="1">
        <f>+K5-K6+K7</f>
        <v>6325.8235879999993</v>
      </c>
    </row>
    <row r="9" spans="10:11" x14ac:dyDescent="0.2">
      <c r="K9" s="11">
        <f>+K8/207</f>
        <v>30.55953424154589</v>
      </c>
    </row>
    <row r="10" spans="10:11" x14ac:dyDescent="0.2">
      <c r="K10" s="1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2CD6B-1DFE-4CD6-9132-C00C5959991D}">
  <dimension ref="B1:AS80"/>
  <sheetViews>
    <sheetView tabSelected="1" workbookViewId="0">
      <pane xSplit="2" ySplit="2" topLeftCell="G3" activePane="bottomRight" state="frozen"/>
      <selection pane="topRight" activeCell="C1" sqref="C1"/>
      <selection pane="bottomLeft" activeCell="A3" sqref="A3"/>
      <selection pane="bottomRight" activeCell="Q34" sqref="Q34"/>
    </sheetView>
  </sheetViews>
  <sheetFormatPr defaultRowHeight="12.75" x14ac:dyDescent="0.2"/>
  <cols>
    <col min="1" max="1" width="2.5703125" style="1" customWidth="1"/>
    <col min="2" max="2" width="15.28515625" style="1" bestFit="1" customWidth="1"/>
    <col min="3" max="5" width="9.140625" style="1"/>
    <col min="6" max="6" width="10.140625" style="1" bestFit="1" customWidth="1"/>
    <col min="7" max="9" width="9.140625" style="1"/>
    <col min="10" max="10" width="10.140625" style="1" bestFit="1" customWidth="1"/>
    <col min="11" max="13" width="9.140625" style="1"/>
    <col min="14" max="14" width="10.140625" style="1" bestFit="1" customWidth="1"/>
    <col min="15" max="16384" width="9.140625" style="1"/>
  </cols>
  <sheetData>
    <row r="1" spans="2:45" s="7" customFormat="1" x14ac:dyDescent="0.2">
      <c r="C1" s="7">
        <v>44286</v>
      </c>
      <c r="D1" s="7">
        <v>44377</v>
      </c>
      <c r="E1" s="7">
        <v>44469</v>
      </c>
      <c r="F1" s="7">
        <v>44561</v>
      </c>
      <c r="G1" s="7">
        <v>44651</v>
      </c>
      <c r="H1" s="7">
        <v>45107</v>
      </c>
      <c r="I1" s="7">
        <v>44834</v>
      </c>
      <c r="J1" s="7">
        <v>44926</v>
      </c>
      <c r="K1" s="7">
        <v>45016</v>
      </c>
      <c r="L1" s="7">
        <v>45107</v>
      </c>
      <c r="M1" s="7">
        <v>45199</v>
      </c>
      <c r="N1" s="7">
        <v>45291</v>
      </c>
      <c r="O1" s="7">
        <v>45382</v>
      </c>
    </row>
    <row r="2" spans="2:45" s="4" customFormat="1" x14ac:dyDescent="0.2">
      <c r="C2" s="4" t="s">
        <v>24</v>
      </c>
      <c r="D2" s="4" t="s">
        <v>25</v>
      </c>
      <c r="E2" s="4" t="s">
        <v>26</v>
      </c>
      <c r="F2" s="4" t="s">
        <v>27</v>
      </c>
      <c r="G2" s="4" t="s">
        <v>28</v>
      </c>
      <c r="H2" s="4" t="s">
        <v>29</v>
      </c>
      <c r="I2" s="4" t="s">
        <v>30</v>
      </c>
      <c r="J2" s="4" t="s">
        <v>31</v>
      </c>
      <c r="K2" s="4" t="s">
        <v>32</v>
      </c>
      <c r="L2" s="4" t="s">
        <v>33</v>
      </c>
      <c r="M2" s="4" t="s">
        <v>34</v>
      </c>
      <c r="N2" s="4" t="s">
        <v>35</v>
      </c>
      <c r="O2" s="4" t="s">
        <v>36</v>
      </c>
      <c r="P2" s="4" t="s">
        <v>37</v>
      </c>
      <c r="Q2" s="4" t="s">
        <v>38</v>
      </c>
      <c r="R2" s="4" t="s">
        <v>39</v>
      </c>
      <c r="T2" s="5">
        <v>2014</v>
      </c>
      <c r="U2" s="5">
        <f>+T2+1</f>
        <v>2015</v>
      </c>
      <c r="V2" s="5">
        <f t="shared" ref="V2:AT2" si="0">+U2+1</f>
        <v>2016</v>
      </c>
      <c r="W2" s="5">
        <f t="shared" si="0"/>
        <v>2017</v>
      </c>
      <c r="X2" s="5">
        <f t="shared" si="0"/>
        <v>2018</v>
      </c>
      <c r="Y2" s="5">
        <f t="shared" si="0"/>
        <v>2019</v>
      </c>
      <c r="Z2" s="5">
        <f t="shared" si="0"/>
        <v>2020</v>
      </c>
      <c r="AA2" s="5">
        <f t="shared" si="0"/>
        <v>2021</v>
      </c>
      <c r="AB2" s="5">
        <f t="shared" si="0"/>
        <v>2022</v>
      </c>
      <c r="AC2" s="5">
        <f t="shared" si="0"/>
        <v>2023</v>
      </c>
      <c r="AD2" s="5">
        <f t="shared" si="0"/>
        <v>2024</v>
      </c>
      <c r="AE2" s="5">
        <f t="shared" si="0"/>
        <v>2025</v>
      </c>
      <c r="AF2" s="5">
        <f t="shared" si="0"/>
        <v>2026</v>
      </c>
      <c r="AG2" s="5">
        <f t="shared" si="0"/>
        <v>2027</v>
      </c>
      <c r="AH2" s="5">
        <f t="shared" si="0"/>
        <v>2028</v>
      </c>
      <c r="AI2" s="5">
        <f t="shared" si="0"/>
        <v>2029</v>
      </c>
      <c r="AJ2" s="5">
        <f t="shared" si="0"/>
        <v>2030</v>
      </c>
      <c r="AK2" s="5">
        <f t="shared" si="0"/>
        <v>2031</v>
      </c>
      <c r="AL2" s="5">
        <f t="shared" si="0"/>
        <v>2032</v>
      </c>
      <c r="AM2" s="5">
        <f t="shared" si="0"/>
        <v>2033</v>
      </c>
      <c r="AN2" s="5">
        <f t="shared" si="0"/>
        <v>2034</v>
      </c>
      <c r="AO2" s="5">
        <f t="shared" si="0"/>
        <v>2035</v>
      </c>
      <c r="AP2" s="5">
        <f t="shared" si="0"/>
        <v>2036</v>
      </c>
      <c r="AQ2" s="5">
        <f t="shared" si="0"/>
        <v>2037</v>
      </c>
      <c r="AR2" s="5">
        <f t="shared" si="0"/>
        <v>2038</v>
      </c>
      <c r="AS2" s="5">
        <f t="shared" si="0"/>
        <v>2039</v>
      </c>
    </row>
    <row r="3" spans="2:45" s="2" customFormat="1" x14ac:dyDescent="0.2">
      <c r="B3" s="2" t="s">
        <v>6</v>
      </c>
      <c r="C3" s="2">
        <v>55.36</v>
      </c>
      <c r="D3" s="2">
        <v>58.802999999999997</v>
      </c>
      <c r="E3" s="2">
        <v>63.594999999999999</v>
      </c>
      <c r="F3" s="2">
        <f>+AA3-SUM(C3:E3)</f>
        <v>73.01400000000001</v>
      </c>
      <c r="G3" s="2">
        <v>81.22</v>
      </c>
      <c r="H3" s="2">
        <v>88.385999999999996</v>
      </c>
      <c r="I3" s="2">
        <v>96.064999999999998</v>
      </c>
      <c r="J3" s="2">
        <f>+AB3-SUM(G3:I3)</f>
        <v>103.82400000000001</v>
      </c>
      <c r="K3" s="2">
        <v>115.661</v>
      </c>
      <c r="L3" s="2">
        <v>126.839</v>
      </c>
      <c r="M3" s="2">
        <v>137.624</v>
      </c>
      <c r="N3" s="2">
        <f>+AC3-SUM(K3:M3)</f>
        <v>150.98500000000001</v>
      </c>
      <c r="O3" s="2">
        <v>167.553</v>
      </c>
      <c r="P3" s="2">
        <f>+O3*1.1</f>
        <v>184.3083</v>
      </c>
      <c r="Q3" s="2">
        <f t="shared" ref="Q3:R3" si="1">+P3*1.1</f>
        <v>202.73913000000002</v>
      </c>
      <c r="R3" s="2">
        <f t="shared" si="1"/>
        <v>223.01304300000004</v>
      </c>
      <c r="AA3" s="2">
        <v>250.77199999999999</v>
      </c>
      <c r="AB3" s="2">
        <v>369.495</v>
      </c>
      <c r="AC3" s="2">
        <v>531.10900000000004</v>
      </c>
      <c r="AD3" s="2">
        <f>+SUM(O3:R3)</f>
        <v>777.61347300000011</v>
      </c>
    </row>
    <row r="4" spans="2:45" x14ac:dyDescent="0.2">
      <c r="B4" s="1" t="s">
        <v>7</v>
      </c>
      <c r="C4" s="1">
        <v>15.019</v>
      </c>
      <c r="D4" s="1">
        <v>16.137</v>
      </c>
      <c r="E4" s="1">
        <v>18.077999999999999</v>
      </c>
      <c r="F4" s="8">
        <f>+AA4-SUM(C4:E4)</f>
        <v>19.952000000000012</v>
      </c>
      <c r="G4" s="1">
        <v>21.49</v>
      </c>
      <c r="H4" s="1">
        <v>23.869</v>
      </c>
      <c r="I4" s="1">
        <v>26.302</v>
      </c>
      <c r="J4" s="8">
        <f>+AB4-SUM(G4:I4)</f>
        <v>27.769999999999996</v>
      </c>
      <c r="K4" s="1">
        <v>31.492000000000001</v>
      </c>
      <c r="L4" s="1">
        <v>33.787999999999997</v>
      </c>
      <c r="M4" s="1">
        <v>36.253999999999998</v>
      </c>
      <c r="N4" s="8">
        <f>+AC4-SUM(K4:M4)</f>
        <v>40.570999999999998</v>
      </c>
      <c r="O4" s="1">
        <v>45.191000000000003</v>
      </c>
      <c r="P4" s="1">
        <f>+P3-P5</f>
        <v>49.763240999999994</v>
      </c>
      <c r="Q4" s="1">
        <f t="shared" ref="Q4:R4" si="2">+Q3-Q5</f>
        <v>54.739565100000021</v>
      </c>
      <c r="R4" s="1">
        <f t="shared" si="2"/>
        <v>60.213521610000015</v>
      </c>
      <c r="AA4" s="1">
        <v>69.186000000000007</v>
      </c>
      <c r="AB4" s="1">
        <v>99.430999999999997</v>
      </c>
      <c r="AC4" s="1">
        <v>142.10499999999999</v>
      </c>
      <c r="AD4" s="8">
        <f>+SUM(O4:R4)</f>
        <v>209.90732771000003</v>
      </c>
    </row>
    <row r="5" spans="2:45" s="2" customFormat="1" x14ac:dyDescent="0.2">
      <c r="B5" s="2" t="s">
        <v>8</v>
      </c>
      <c r="C5" s="2">
        <f>+C3-C4</f>
        <v>40.341000000000001</v>
      </c>
      <c r="D5" s="2">
        <f>+D3-D4</f>
        <v>42.665999999999997</v>
      </c>
      <c r="E5" s="2">
        <f>+E3-E4</f>
        <v>45.516999999999996</v>
      </c>
      <c r="F5" s="2">
        <f>+F3-F4</f>
        <v>53.061999999999998</v>
      </c>
      <c r="G5" s="2">
        <f>+G3-G4</f>
        <v>59.730000000000004</v>
      </c>
      <c r="H5" s="2">
        <f>+H3-H4</f>
        <v>64.516999999999996</v>
      </c>
      <c r="I5" s="2">
        <f>+I3-I4</f>
        <v>69.763000000000005</v>
      </c>
      <c r="J5" s="2">
        <f>+J3-J4</f>
        <v>76.054000000000016</v>
      </c>
      <c r="K5" s="2">
        <f>+K3-K4</f>
        <v>84.168999999999997</v>
      </c>
      <c r="L5" s="2">
        <f>+L3-L4</f>
        <v>93.051000000000002</v>
      </c>
      <c r="M5" s="2">
        <f>+M3-M4</f>
        <v>101.37</v>
      </c>
      <c r="N5" s="2">
        <f>+N3-N4</f>
        <v>110.41400000000002</v>
      </c>
      <c r="O5" s="2">
        <f>+O3-O4</f>
        <v>122.36199999999999</v>
      </c>
      <c r="P5" s="2">
        <f>+P3*0.73</f>
        <v>134.54505900000001</v>
      </c>
      <c r="Q5" s="2">
        <f t="shared" ref="Q5:R5" si="3">+Q3*0.73</f>
        <v>147.9995649</v>
      </c>
      <c r="R5" s="2">
        <f t="shared" si="3"/>
        <v>162.79952139000002</v>
      </c>
      <c r="AA5" s="2">
        <f>+AA3-AA4</f>
        <v>181.58599999999998</v>
      </c>
      <c r="AB5" s="2">
        <f>+AB3-AB4</f>
        <v>270.06400000000002</v>
      </c>
      <c r="AC5" s="2">
        <f>+AC3-AC4</f>
        <v>389.00400000000002</v>
      </c>
      <c r="AD5" s="2">
        <f>+AD3-AD4</f>
        <v>567.70614529000011</v>
      </c>
    </row>
    <row r="6" spans="2:45" x14ac:dyDescent="0.2">
      <c r="B6" s="1" t="s">
        <v>9</v>
      </c>
      <c r="C6" s="1">
        <v>22.529</v>
      </c>
      <c r="D6" s="1">
        <v>21.94</v>
      </c>
      <c r="E6" s="1">
        <v>29.344999999999999</v>
      </c>
      <c r="F6" s="8">
        <f>+AA6-SUM(C6:E6)</f>
        <v>30.019000000000005</v>
      </c>
      <c r="G6" s="1">
        <v>29.780999999999999</v>
      </c>
      <c r="H6" s="1">
        <v>34.216999999999999</v>
      </c>
      <c r="I6" s="1">
        <v>41.975999999999999</v>
      </c>
      <c r="J6" s="8">
        <f>+AB6-SUM(G6:I6)</f>
        <v>44.47</v>
      </c>
      <c r="K6" s="1">
        <v>45.844000000000001</v>
      </c>
      <c r="L6" s="1">
        <v>47.947000000000003</v>
      </c>
      <c r="M6" s="1">
        <v>50.305</v>
      </c>
      <c r="N6" s="8">
        <f>+AC6-SUM(K6:M6)</f>
        <v>50.256</v>
      </c>
      <c r="O6" s="1">
        <v>50.878</v>
      </c>
      <c r="P6" s="1">
        <f>+O6*1.05</f>
        <v>53.421900000000001</v>
      </c>
      <c r="Q6" s="1">
        <f t="shared" ref="Q6:R6" si="4">+P6*1.05</f>
        <v>56.092995000000002</v>
      </c>
      <c r="R6" s="1">
        <f t="shared" si="4"/>
        <v>58.897644750000005</v>
      </c>
      <c r="AA6" s="1">
        <v>103.833</v>
      </c>
      <c r="AB6" s="1">
        <v>150.44399999999999</v>
      </c>
      <c r="AC6" s="1">
        <v>194.352</v>
      </c>
      <c r="AD6" s="8">
        <f t="shared" ref="AD6:AD8" si="5">+SUM(O6:R6)</f>
        <v>219.29053975000002</v>
      </c>
    </row>
    <row r="7" spans="2:45" x14ac:dyDescent="0.2">
      <c r="B7" s="1" t="s">
        <v>10</v>
      </c>
      <c r="C7" s="1">
        <v>19.773</v>
      </c>
      <c r="D7" s="1">
        <v>9.6189999999999998</v>
      </c>
      <c r="E7" s="1">
        <v>15.266999999999999</v>
      </c>
      <c r="F7" s="8">
        <f>+AA7-SUM(C7:E7)</f>
        <v>14.511000000000003</v>
      </c>
      <c r="G7" s="1">
        <v>14.94</v>
      </c>
      <c r="H7" s="1">
        <v>15.276999999999999</v>
      </c>
      <c r="I7" s="1">
        <v>17.721</v>
      </c>
      <c r="J7" s="8">
        <f>+AB7-SUM(G7:I7)</f>
        <v>19.028999999999996</v>
      </c>
      <c r="K7" s="1">
        <v>16.600999999999999</v>
      </c>
      <c r="L7" s="1">
        <v>17.734000000000002</v>
      </c>
      <c r="M7" s="1">
        <v>22.335000000000001</v>
      </c>
      <c r="N7" s="8">
        <f>+AC7-SUM(K7:M7)</f>
        <v>19.117999999999995</v>
      </c>
      <c r="O7" s="1">
        <v>19.931000000000001</v>
      </c>
      <c r="P7" s="1">
        <f>+O7*1.05</f>
        <v>20.92755</v>
      </c>
      <c r="Q7" s="1">
        <f t="shared" ref="Q7:R7" si="6">+P7*1.05</f>
        <v>21.973927500000002</v>
      </c>
      <c r="R7" s="1">
        <f t="shared" si="6"/>
        <v>23.072623875000001</v>
      </c>
      <c r="AA7" s="1">
        <v>59.17</v>
      </c>
      <c r="AB7" s="1">
        <v>66.966999999999999</v>
      </c>
      <c r="AC7" s="1">
        <v>75.787999999999997</v>
      </c>
      <c r="AD7" s="8">
        <f t="shared" si="5"/>
        <v>85.905101375000001</v>
      </c>
    </row>
    <row r="8" spans="2:45" x14ac:dyDescent="0.2">
      <c r="B8" s="1" t="s">
        <v>11</v>
      </c>
      <c r="C8" s="1">
        <v>11.452999999999999</v>
      </c>
      <c r="D8" s="1">
        <v>11.585000000000001</v>
      </c>
      <c r="E8" s="1">
        <v>29.605</v>
      </c>
      <c r="F8" s="8">
        <f>+AA8-SUM(C8:E8)</f>
        <v>25.947000000000003</v>
      </c>
      <c r="G8" s="1">
        <v>26.856000000000002</v>
      </c>
      <c r="H8" s="1">
        <v>30.056999999999999</v>
      </c>
      <c r="I8" s="1">
        <v>30.228000000000002</v>
      </c>
      <c r="J8" s="8">
        <f>+AB8-SUM(G8:I8)</f>
        <v>30.707000000000008</v>
      </c>
      <c r="K8" s="1">
        <v>30.242999999999999</v>
      </c>
      <c r="L8" s="1">
        <v>32.234999999999999</v>
      </c>
      <c r="M8" s="1">
        <v>33.4</v>
      </c>
      <c r="N8" s="8">
        <f>+AC8-SUM(K8:M8)</f>
        <v>36.245000000000005</v>
      </c>
      <c r="O8" s="1">
        <v>35.113999999999997</v>
      </c>
      <c r="P8" s="1">
        <f>+O8*1.05</f>
        <v>36.869700000000002</v>
      </c>
      <c r="Q8" s="1">
        <f t="shared" ref="Q8:R8" si="7">+P8*1.05</f>
        <v>38.713185000000003</v>
      </c>
      <c r="R8" s="1">
        <f t="shared" si="7"/>
        <v>40.648844250000003</v>
      </c>
      <c r="AA8" s="1">
        <v>78.59</v>
      </c>
      <c r="AB8" s="1">
        <v>117.848</v>
      </c>
      <c r="AC8" s="1">
        <v>132.12299999999999</v>
      </c>
      <c r="AD8" s="8">
        <f t="shared" si="5"/>
        <v>151.34572925000001</v>
      </c>
    </row>
    <row r="9" spans="2:45" x14ac:dyDescent="0.2">
      <c r="B9" s="1" t="s">
        <v>12</v>
      </c>
      <c r="C9" s="1">
        <f>+SUM(C6:C8)</f>
        <v>53.754999999999995</v>
      </c>
      <c r="D9" s="1">
        <f>+SUM(D6:D8)</f>
        <v>43.144000000000005</v>
      </c>
      <c r="E9" s="1">
        <f>+SUM(E6:E8)</f>
        <v>74.216999999999999</v>
      </c>
      <c r="F9" s="1">
        <f>+SUM(F6:F8)</f>
        <v>70.477000000000004</v>
      </c>
      <c r="G9" s="1">
        <f>+SUM(G6:G8)</f>
        <v>71.576999999999998</v>
      </c>
      <c r="H9" s="1">
        <f>+SUM(H6:H8)</f>
        <v>79.551000000000002</v>
      </c>
      <c r="I9" s="1">
        <f>+SUM(I6:I8)</f>
        <v>89.925000000000011</v>
      </c>
      <c r="J9" s="1">
        <f>+SUM(J6:J8)</f>
        <v>94.206000000000003</v>
      </c>
      <c r="K9" s="1">
        <f>+SUM(K6:K8)</f>
        <v>92.688000000000002</v>
      </c>
      <c r="L9" s="1">
        <f>+SUM(L6:L8)</f>
        <v>97.916000000000011</v>
      </c>
      <c r="M9" s="1">
        <f>+SUM(M6:M8)</f>
        <v>106.03999999999999</v>
      </c>
      <c r="N9" s="1">
        <f>+SUM(N6:N8)</f>
        <v>105.619</v>
      </c>
      <c r="O9" s="1">
        <f>+SUM(O6:O8)</f>
        <v>105.923</v>
      </c>
      <c r="P9" s="1">
        <f t="shared" ref="P9:R9" si="8">+SUM(P6:P8)</f>
        <v>111.21915000000001</v>
      </c>
      <c r="Q9" s="1">
        <f t="shared" si="8"/>
        <v>116.78010750000001</v>
      </c>
      <c r="R9" s="1">
        <f t="shared" si="8"/>
        <v>122.61911287500001</v>
      </c>
      <c r="AA9" s="1">
        <f>+SUM(AA6:AA8)</f>
        <v>241.59299999999999</v>
      </c>
      <c r="AB9" s="1">
        <f>+SUM(AB6:AB8)</f>
        <v>335.25900000000001</v>
      </c>
      <c r="AC9" s="1">
        <f>+SUM(AC6:AC8)</f>
        <v>402.26299999999998</v>
      </c>
      <c r="AD9" s="1">
        <f>+SUM(AD6:AD8)</f>
        <v>456.54137037500004</v>
      </c>
    </row>
    <row r="10" spans="2:45" s="2" customFormat="1" x14ac:dyDescent="0.2">
      <c r="B10" s="2" t="s">
        <v>13</v>
      </c>
      <c r="C10" s="2">
        <f>+C5-C9</f>
        <v>-13.413999999999994</v>
      </c>
      <c r="D10" s="2">
        <f>+D5-D9</f>
        <v>-0.47800000000000864</v>
      </c>
      <c r="E10" s="2">
        <f>+E5-E9</f>
        <v>-28.700000000000003</v>
      </c>
      <c r="F10" s="2">
        <f>+F5-F9</f>
        <v>-17.415000000000006</v>
      </c>
      <c r="G10" s="2">
        <f>+G5-G9</f>
        <v>-11.846999999999994</v>
      </c>
      <c r="H10" s="2">
        <f>+H5-H9</f>
        <v>-15.034000000000006</v>
      </c>
      <c r="I10" s="2">
        <f>+I5-I9</f>
        <v>-20.162000000000006</v>
      </c>
      <c r="J10" s="2">
        <f>+J5-J9</f>
        <v>-18.151999999999987</v>
      </c>
      <c r="K10" s="2">
        <f>+K5-K9</f>
        <v>-8.5190000000000055</v>
      </c>
      <c r="L10" s="2">
        <f>+L5-L9</f>
        <v>-4.8650000000000091</v>
      </c>
      <c r="M10" s="2">
        <f>+M5-M9</f>
        <v>-4.6699999999999875</v>
      </c>
      <c r="N10" s="2">
        <f>+N5-N9</f>
        <v>4.7950000000000159</v>
      </c>
      <c r="O10" s="2">
        <f>+O5-O9</f>
        <v>16.438999999999993</v>
      </c>
      <c r="P10" s="2">
        <f t="shared" ref="P10:R10" si="9">+P5-P9</f>
        <v>23.325908999999996</v>
      </c>
      <c r="Q10" s="2">
        <f t="shared" si="9"/>
        <v>31.219457399999982</v>
      </c>
      <c r="R10" s="2">
        <f t="shared" si="9"/>
        <v>40.180408515000011</v>
      </c>
      <c r="AA10" s="2">
        <f>+AA5-AA9</f>
        <v>-60.007000000000005</v>
      </c>
      <c r="AB10" s="2">
        <f>+AB5-AB9</f>
        <v>-65.194999999999993</v>
      </c>
      <c r="AC10" s="2">
        <f>+AC5-AC9</f>
        <v>-13.258999999999958</v>
      </c>
      <c r="AD10" s="2">
        <f>+AD5-AD9</f>
        <v>111.16477491500007</v>
      </c>
    </row>
    <row r="11" spans="2:45" x14ac:dyDescent="0.2">
      <c r="B11" s="1" t="s">
        <v>14</v>
      </c>
      <c r="C11" s="1">
        <v>-4.1000000000000002E-2</v>
      </c>
      <c r="D11" s="1">
        <v>0.30299999999999999</v>
      </c>
      <c r="E11" s="1">
        <v>-0.219</v>
      </c>
      <c r="F11" s="8">
        <f>+AA11-SUM(C11:E11)</f>
        <v>-2.4000000000000011E-2</v>
      </c>
      <c r="G11" s="1">
        <v>-0.27900000000000003</v>
      </c>
      <c r="H11" s="1">
        <v>0.66900000000000004</v>
      </c>
      <c r="I11" s="1">
        <v>2.2599999999999998</v>
      </c>
      <c r="J11" s="8">
        <f>+AB11-SUM(G11:I11)</f>
        <v>4.5850000000000009</v>
      </c>
      <c r="K11" s="1">
        <v>5.6390000000000002</v>
      </c>
      <c r="L11" s="1">
        <v>7.5430000000000001</v>
      </c>
      <c r="M11" s="1">
        <v>8.625</v>
      </c>
      <c r="N11" s="8">
        <f>+AC11-SUM(K11:M11)</f>
        <v>9.2839999999999989</v>
      </c>
      <c r="O11" s="1">
        <v>10.032999999999999</v>
      </c>
      <c r="P11" s="1">
        <f>+$O$27*0.01</f>
        <v>8.3244799999999994</v>
      </c>
      <c r="Q11" s="1">
        <f t="shared" ref="Q11:R11" si="10">+$O$27*0.01</f>
        <v>8.3244799999999994</v>
      </c>
      <c r="R11" s="1">
        <f t="shared" si="10"/>
        <v>8.3244799999999994</v>
      </c>
      <c r="AA11" s="1">
        <v>1.9E-2</v>
      </c>
      <c r="AB11" s="1">
        <v>7.2350000000000003</v>
      </c>
      <c r="AC11" s="1">
        <v>31.091000000000001</v>
      </c>
      <c r="AD11" s="8">
        <f t="shared" ref="AD11:AD13" si="11">+SUM(O11:R11)</f>
        <v>35.006439999999998</v>
      </c>
    </row>
    <row r="12" spans="2:45" x14ac:dyDescent="0.2">
      <c r="B12" s="1" t="s">
        <v>15</v>
      </c>
      <c r="C12" s="1">
        <f>+C10+C11</f>
        <v>-13.454999999999995</v>
      </c>
      <c r="D12" s="1">
        <f>+D10+D11</f>
        <v>-0.17500000000000865</v>
      </c>
      <c r="E12" s="1">
        <f>+E10+E11</f>
        <v>-28.919000000000004</v>
      </c>
      <c r="F12" s="1">
        <f>+F10+F11</f>
        <v>-17.439000000000007</v>
      </c>
      <c r="G12" s="1">
        <f>+G10+G11</f>
        <v>-12.125999999999994</v>
      </c>
      <c r="H12" s="1">
        <f>+H10+H11</f>
        <v>-14.365000000000006</v>
      </c>
      <c r="I12" s="1">
        <f>+I10+I11</f>
        <v>-17.902000000000008</v>
      </c>
      <c r="J12" s="1">
        <f>+J10+J11</f>
        <v>-13.566999999999986</v>
      </c>
      <c r="K12" s="1">
        <f>+K10+K11</f>
        <v>-2.8800000000000052</v>
      </c>
      <c r="L12" s="1">
        <f>+L10+L11</f>
        <v>2.6779999999999911</v>
      </c>
      <c r="M12" s="1">
        <f>+M10+M11</f>
        <v>3.9550000000000125</v>
      </c>
      <c r="N12" s="1">
        <f>+N10+N11</f>
        <v>14.079000000000015</v>
      </c>
      <c r="O12" s="1">
        <f>+O10+O11</f>
        <v>26.471999999999994</v>
      </c>
      <c r="P12" s="1">
        <f t="shared" ref="P12:R12" si="12">+P10+P11</f>
        <v>31.650388999999997</v>
      </c>
      <c r="Q12" s="1">
        <f t="shared" si="12"/>
        <v>39.543937399999983</v>
      </c>
      <c r="R12" s="1">
        <f t="shared" si="12"/>
        <v>48.504888515000012</v>
      </c>
      <c r="AA12" s="1">
        <f>+AA10+AA11</f>
        <v>-59.988000000000007</v>
      </c>
      <c r="AB12" s="1">
        <f>+AB10+AB11</f>
        <v>-57.959999999999994</v>
      </c>
      <c r="AC12" s="1">
        <f>+AC10+AC11</f>
        <v>17.832000000000043</v>
      </c>
      <c r="AD12" s="1">
        <f>+AD10+AD11</f>
        <v>146.17121491500006</v>
      </c>
    </row>
    <row r="13" spans="2:45" x14ac:dyDescent="0.2">
      <c r="B13" s="1" t="s">
        <v>16</v>
      </c>
      <c r="C13" s="1">
        <v>1.7000000000000001E-2</v>
      </c>
      <c r="D13" s="1">
        <v>1E-3</v>
      </c>
      <c r="E13" s="1">
        <v>5.0999999999999997E-2</v>
      </c>
      <c r="F13" s="8">
        <f>+AA13-SUM(C13:E13)</f>
        <v>0.10799999999999998</v>
      </c>
      <c r="G13" s="1">
        <v>2.8000000000000001E-2</v>
      </c>
      <c r="H13" s="1">
        <v>0.14099999999999999</v>
      </c>
      <c r="I13" s="1">
        <v>5.2999999999999999E-2</v>
      </c>
      <c r="J13" s="8">
        <f>+AB13-SUM(G13:I13)</f>
        <v>0.71599999999999997</v>
      </c>
      <c r="K13" s="1">
        <v>-0.11600000000000001</v>
      </c>
      <c r="L13" s="1">
        <v>-1.3149999999999999</v>
      </c>
      <c r="M13" s="1">
        <v>0.125</v>
      </c>
      <c r="N13" s="8">
        <f>+AC13-SUM(K13:M13)</f>
        <v>3.016</v>
      </c>
      <c r="O13" s="1">
        <v>-1.105</v>
      </c>
      <c r="P13" s="1">
        <f>+P12*0.2</f>
        <v>6.3300777999999998</v>
      </c>
      <c r="Q13" s="1">
        <f t="shared" ref="Q13:R13" si="13">+Q12*0.2</f>
        <v>7.9087874799999973</v>
      </c>
      <c r="R13" s="1">
        <f t="shared" si="13"/>
        <v>9.7009777030000031</v>
      </c>
      <c r="AA13" s="1">
        <v>0.17699999999999999</v>
      </c>
      <c r="AB13" s="1">
        <v>0.93799999999999994</v>
      </c>
      <c r="AC13" s="1">
        <v>1.71</v>
      </c>
      <c r="AD13" s="8">
        <f t="shared" si="11"/>
        <v>22.834842983000001</v>
      </c>
    </row>
    <row r="14" spans="2:45" s="2" customFormat="1" x14ac:dyDescent="0.2">
      <c r="B14" s="2" t="s">
        <v>17</v>
      </c>
      <c r="C14" s="2">
        <f>+C12-C13</f>
        <v>-13.471999999999994</v>
      </c>
      <c r="D14" s="2">
        <f>+D12-D13</f>
        <v>-0.17600000000000865</v>
      </c>
      <c r="E14" s="2">
        <f>+E12-E13</f>
        <v>-28.970000000000002</v>
      </c>
      <c r="F14" s="2">
        <f>+F12-F13</f>
        <v>-17.547000000000008</v>
      </c>
      <c r="G14" s="2">
        <f>+G12-G13</f>
        <v>-12.153999999999995</v>
      </c>
      <c r="H14" s="2">
        <f>+H12-H13</f>
        <v>-14.506000000000006</v>
      </c>
      <c r="I14" s="2">
        <f>+I12-I13</f>
        <v>-17.955000000000009</v>
      </c>
      <c r="J14" s="2">
        <f>+J12-J13</f>
        <v>-14.282999999999985</v>
      </c>
      <c r="K14" s="2">
        <f>+K12-K13</f>
        <v>-2.7640000000000051</v>
      </c>
      <c r="L14" s="2">
        <f>+L12-L13</f>
        <v>3.992999999999991</v>
      </c>
      <c r="M14" s="2">
        <f>+M12-M13</f>
        <v>3.8300000000000125</v>
      </c>
      <c r="N14" s="2">
        <f>+N12-N13</f>
        <v>11.063000000000015</v>
      </c>
      <c r="O14" s="2">
        <f>+O12-O13</f>
        <v>27.576999999999995</v>
      </c>
      <c r="P14" s="2">
        <f t="shared" ref="P14:R14" si="14">+P12-P13</f>
        <v>25.320311199999999</v>
      </c>
      <c r="Q14" s="2">
        <f t="shared" si="14"/>
        <v>31.635149919999986</v>
      </c>
      <c r="R14" s="2">
        <f t="shared" si="14"/>
        <v>38.803910812000012</v>
      </c>
      <c r="AA14" s="2">
        <f>+AA12-AA13</f>
        <v>-60.165000000000006</v>
      </c>
      <c r="AB14" s="2">
        <f>+AB12-AB13</f>
        <v>-58.897999999999996</v>
      </c>
      <c r="AC14" s="2">
        <f>+AC12-AC13</f>
        <v>16.122000000000043</v>
      </c>
      <c r="AD14" s="2">
        <f>+AD12-AD13</f>
        <v>123.33637193200006</v>
      </c>
    </row>
    <row r="15" spans="2:45" x14ac:dyDescent="0.2">
      <c r="B15" s="1" t="s">
        <v>18</v>
      </c>
      <c r="C15" s="6">
        <f>+C14/C16</f>
        <v>-1.0151458066460699</v>
      </c>
      <c r="D15" s="6">
        <f>+D14/D16</f>
        <v>-1.3261999849296107E-2</v>
      </c>
      <c r="E15" s="6">
        <f>+E14/E16</f>
        <v>-0.77310417283844612</v>
      </c>
      <c r="F15" s="6">
        <f>+F14/F16</f>
        <v>-0.82233174391270147</v>
      </c>
      <c r="G15" s="6">
        <f>+G14/G16</f>
        <v>-0.31102694679734871</v>
      </c>
      <c r="H15" s="6">
        <f>+H14/H16</f>
        <v>-0.35940635762245743</v>
      </c>
      <c r="I15" s="6">
        <f>+I14/I16</f>
        <v>-0.44791198922317044</v>
      </c>
      <c r="J15" s="6">
        <f>+J14/J16</f>
        <v>-0.35849703825173151</v>
      </c>
      <c r="K15" s="6">
        <f>+K14/K16</f>
        <v>-6.4995532145040807E-2</v>
      </c>
      <c r="L15" s="6">
        <f>+L14/L16</f>
        <v>9.8932137459428429E-2</v>
      </c>
      <c r="M15" s="6">
        <f>+M14/M16</f>
        <v>9.4893585391838953E-2</v>
      </c>
      <c r="N15" s="6">
        <f>+N14/N16</f>
        <v>0.26928631701934347</v>
      </c>
      <c r="O15" s="6">
        <f>+O14/O16</f>
        <v>0.64847387480600094</v>
      </c>
      <c r="P15" s="6">
        <f t="shared" ref="P15:R15" si="15">+P14/P16</f>
        <v>0.59540777877063444</v>
      </c>
      <c r="Q15" s="6">
        <f t="shared" si="15"/>
        <v>0.74390137609932716</v>
      </c>
      <c r="R15" s="6">
        <f t="shared" si="15"/>
        <v>0.91247497559140323</v>
      </c>
      <c r="AA15" s="6">
        <f>+AA14/AA16</f>
        <v>-1.4147815454075157</v>
      </c>
      <c r="AB15" s="6">
        <f>+AB14/AB16</f>
        <v>-1.3849880073366883</v>
      </c>
      <c r="AC15" s="6">
        <f>+AC14/AC16</f>
        <v>0.39944500879562056</v>
      </c>
      <c r="AD15" s="6">
        <f>+AD14/AD16</f>
        <v>2.9002580052673674</v>
      </c>
    </row>
    <row r="16" spans="2:45" x14ac:dyDescent="0.2">
      <c r="B16" s="1" t="s">
        <v>1</v>
      </c>
      <c r="C16" s="1">
        <v>13.271000000000001</v>
      </c>
      <c r="D16" s="1">
        <v>13.271000000000001</v>
      </c>
      <c r="E16" s="1">
        <f>15.796838+21.675473</f>
        <v>37.472310999999998</v>
      </c>
      <c r="F16" s="1">
        <f>+AVERAGE(C16:E16)</f>
        <v>21.338103666666665</v>
      </c>
      <c r="G16" s="1">
        <f>27.479+11.598</f>
        <v>39.076999999999998</v>
      </c>
      <c r="H16" s="1">
        <f>31.899+8.462</f>
        <v>40.361000000000004</v>
      </c>
      <c r="I16" s="1">
        <f>31.176+8.91</f>
        <v>40.085999999999999</v>
      </c>
      <c r="J16" s="1">
        <f>+AVERAGE(G16:I16)</f>
        <v>39.841333333333331</v>
      </c>
      <c r="K16" s="1">
        <f>36.311+6.215</f>
        <v>42.525999999999996</v>
      </c>
      <c r="L16" s="1">
        <f>31.899+8.462</f>
        <v>40.361000000000004</v>
      </c>
      <c r="M16" s="1">
        <f>31.899+8.462</f>
        <v>40.361000000000004</v>
      </c>
      <c r="N16" s="1">
        <f>+AVERAGE(K16:M16)</f>
        <v>41.082666666666668</v>
      </c>
      <c r="O16" s="1">
        <f>36.311+6.215</f>
        <v>42.525999999999996</v>
      </c>
      <c r="P16" s="1">
        <f t="shared" ref="P16:R16" si="16">36.311+6.215</f>
        <v>42.525999999999996</v>
      </c>
      <c r="Q16" s="1">
        <f t="shared" si="16"/>
        <v>42.525999999999996</v>
      </c>
      <c r="R16" s="1">
        <f t="shared" si="16"/>
        <v>42.525999999999996</v>
      </c>
      <c r="AA16" s="1">
        <f>36.311+6.215</f>
        <v>42.525999999999996</v>
      </c>
      <c r="AB16" s="1">
        <f>36.311+6.215</f>
        <v>42.525999999999996</v>
      </c>
      <c r="AC16" s="1">
        <f>31.899+8.462</f>
        <v>40.361000000000004</v>
      </c>
      <c r="AD16" s="1">
        <f>+AVERAGE(O16:R16)</f>
        <v>42.525999999999996</v>
      </c>
    </row>
    <row r="18" spans="2:30" s="3" customFormat="1" x14ac:dyDescent="0.2">
      <c r="B18" s="3" t="s">
        <v>19</v>
      </c>
      <c r="C18" s="3">
        <f>+C5/C3</f>
        <v>0.72870303468208097</v>
      </c>
      <c r="D18" s="3">
        <f>+D5/D3</f>
        <v>0.72557522575378808</v>
      </c>
      <c r="E18" s="3">
        <f>+E5/E3</f>
        <v>0.71573236889692582</v>
      </c>
      <c r="F18" s="3">
        <f>+F5/F3</f>
        <v>0.72673733804475837</v>
      </c>
      <c r="G18" s="3">
        <f>+G5/G3</f>
        <v>0.73540999753755243</v>
      </c>
      <c r="H18" s="3">
        <f>+H5/H3</f>
        <v>0.7299459190369515</v>
      </c>
      <c r="I18" s="3">
        <f>+I5/I3</f>
        <v>0.72620621454223711</v>
      </c>
      <c r="J18" s="3">
        <f>+J5/J3</f>
        <v>0.73252812451841587</v>
      </c>
      <c r="K18" s="3">
        <f>+K5/K3</f>
        <v>0.72772153102601567</v>
      </c>
      <c r="L18" s="3">
        <f>+L5/L3</f>
        <v>0.7336150553063332</v>
      </c>
      <c r="M18" s="3">
        <f>+M5/M3</f>
        <v>0.73657210951578223</v>
      </c>
      <c r="N18" s="3">
        <f>+N5/N3</f>
        <v>0.73129118786634439</v>
      </c>
      <c r="O18" s="3">
        <f>+O5/O3</f>
        <v>0.73028832667872257</v>
      </c>
      <c r="P18" s="3">
        <f t="shared" ref="P18:R18" si="17">+P5/P3</f>
        <v>0.73000000000000009</v>
      </c>
      <c r="Q18" s="3">
        <f t="shared" si="17"/>
        <v>0.72999999999999987</v>
      </c>
      <c r="R18" s="3">
        <f t="shared" si="17"/>
        <v>0.73</v>
      </c>
      <c r="AA18" s="3">
        <f>+AA5/AA3</f>
        <v>0.72410795463608368</v>
      </c>
      <c r="AB18" s="3">
        <f>+AB5/AB3</f>
        <v>0.73090028281844144</v>
      </c>
      <c r="AC18" s="3">
        <f>+AC5/AC3</f>
        <v>0.7324372209847696</v>
      </c>
      <c r="AD18" s="3">
        <f>+AD5/AD3</f>
        <v>0.73006212598119424</v>
      </c>
    </row>
    <row r="19" spans="2:30" s="3" customFormat="1" x14ac:dyDescent="0.2">
      <c r="B19" s="3" t="s">
        <v>20</v>
      </c>
      <c r="C19" s="3">
        <f>+C10/C3</f>
        <v>-0.24230491329479759</v>
      </c>
      <c r="D19" s="3">
        <f>+D10/D3</f>
        <v>-8.1288369641006192E-3</v>
      </c>
      <c r="E19" s="3">
        <f>+E10/E3</f>
        <v>-0.4512933406714365</v>
      </c>
      <c r="F19" s="3">
        <f>+F10/F3</f>
        <v>-0.23851590106007073</v>
      </c>
      <c r="G19" s="3">
        <f>+G10/G3</f>
        <v>-0.14586308790938185</v>
      </c>
      <c r="H19" s="3">
        <f>+H10/H3</f>
        <v>-0.17009481139546995</v>
      </c>
      <c r="I19" s="3">
        <f>+I10/I3</f>
        <v>-0.2098787279446209</v>
      </c>
      <c r="J19" s="3">
        <f>+J10/J3</f>
        <v>-0.17483433502850965</v>
      </c>
      <c r="K19" s="3">
        <f>+K10/K3</f>
        <v>-7.3654905283544195E-2</v>
      </c>
      <c r="L19" s="3">
        <f>+L10/L3</f>
        <v>-3.8355710782961148E-2</v>
      </c>
      <c r="M19" s="3">
        <f>+M10/M3</f>
        <v>-3.393303493576693E-2</v>
      </c>
      <c r="N19" s="3">
        <f>+N10/N3</f>
        <v>3.1758121667715439E-2</v>
      </c>
      <c r="O19" s="3">
        <f>+O10/O3</f>
        <v>9.8112239112400218E-2</v>
      </c>
      <c r="P19" s="3">
        <f t="shared" ref="P19:R19" si="18">+P10/P3</f>
        <v>0.12655918914123779</v>
      </c>
      <c r="Q19" s="3">
        <f t="shared" si="18"/>
        <v>0.15398831690754508</v>
      </c>
      <c r="R19" s="3">
        <f t="shared" si="18"/>
        <v>0.18017066613902041</v>
      </c>
      <c r="AA19" s="3">
        <f>+AA10/AA3</f>
        <v>-0.23928907533536442</v>
      </c>
      <c r="AB19" s="3">
        <f>+AB10/AB3</f>
        <v>-0.17644352426961121</v>
      </c>
      <c r="AC19" s="3">
        <f>+AC10/AC3</f>
        <v>-2.4964743583708725E-2</v>
      </c>
      <c r="AD19" s="3">
        <f>+AD10/AD3</f>
        <v>0.1429563385599931</v>
      </c>
    </row>
    <row r="20" spans="2:30" s="3" customFormat="1" x14ac:dyDescent="0.2">
      <c r="B20" s="3" t="s">
        <v>21</v>
      </c>
      <c r="C20" s="3">
        <f>+C14/C3</f>
        <v>-0.24335260115606927</v>
      </c>
      <c r="D20" s="3">
        <f>+D14/D3</f>
        <v>-2.993044572555969E-3</v>
      </c>
      <c r="E20" s="3">
        <f>+E14/E3</f>
        <v>-0.45553895746520956</v>
      </c>
      <c r="F20" s="3">
        <f>+F14/F3</f>
        <v>-0.24032377352288609</v>
      </c>
      <c r="G20" s="3">
        <f>+G14/G3</f>
        <v>-0.14964294508741682</v>
      </c>
      <c r="H20" s="3">
        <f>+H14/H3</f>
        <v>-0.16412101464032772</v>
      </c>
      <c r="I20" s="3">
        <f>+I14/I3</f>
        <v>-0.18690469994274719</v>
      </c>
      <c r="J20" s="3">
        <f>+J14/J3</f>
        <v>-0.13756934812760041</v>
      </c>
      <c r="K20" s="3">
        <f>+K14/K3</f>
        <v>-2.3897424369493651E-2</v>
      </c>
      <c r="L20" s="3">
        <f>+L14/L3</f>
        <v>3.1480853680650206E-2</v>
      </c>
      <c r="M20" s="3">
        <f>+M14/M3</f>
        <v>2.7829448352031712E-2</v>
      </c>
      <c r="N20" s="3">
        <f>+N14/N3</f>
        <v>7.3272179355565209E-2</v>
      </c>
      <c r="O20" s="3">
        <f>+O14/O3</f>
        <v>0.16458672778165712</v>
      </c>
      <c r="P20" s="3">
        <f t="shared" ref="P20:R20" si="19">+P14/P3</f>
        <v>0.13738020045760282</v>
      </c>
      <c r="Q20" s="3">
        <f t="shared" si="19"/>
        <v>0.1560386982029566</v>
      </c>
      <c r="R20" s="3">
        <f t="shared" si="19"/>
        <v>0.17399839170841683</v>
      </c>
      <c r="AA20" s="3">
        <f>+AA14/AA3</f>
        <v>-0.23991912972740181</v>
      </c>
      <c r="AB20" s="3">
        <f>+AB14/AB3</f>
        <v>-0.15940134507909443</v>
      </c>
      <c r="AC20" s="3">
        <f>+AC14/AC3</f>
        <v>3.0355350784867216E-2</v>
      </c>
      <c r="AD20" s="3">
        <f>+AD14/AD3</f>
        <v>0.15860884130025876</v>
      </c>
    </row>
    <row r="21" spans="2:30" s="3" customFormat="1" x14ac:dyDescent="0.2">
      <c r="B21" s="3" t="s">
        <v>22</v>
      </c>
      <c r="C21" s="3">
        <f>+C13/C12</f>
        <v>-1.2634708286882205E-3</v>
      </c>
      <c r="D21" s="3">
        <f>+D13/D12</f>
        <v>-5.7142857142854324E-3</v>
      </c>
      <c r="E21" s="3">
        <f>+E13/E12</f>
        <v>-1.763546457346381E-3</v>
      </c>
      <c r="F21" s="3">
        <f>+F13/F12</f>
        <v>-6.1930156545673453E-3</v>
      </c>
      <c r="G21" s="3">
        <f>+G13/G12</f>
        <v>-2.3090879102754423E-3</v>
      </c>
      <c r="H21" s="3">
        <f>+H13/H12</f>
        <v>-9.81552384267316E-3</v>
      </c>
      <c r="I21" s="3">
        <f>+I13/I12</f>
        <v>-2.9605630655792636E-3</v>
      </c>
      <c r="J21" s="3">
        <f>+J13/J12</f>
        <v>-5.2775116090513802E-2</v>
      </c>
      <c r="K21" s="3">
        <f>+K13/K12</f>
        <v>4.0277777777777704E-2</v>
      </c>
      <c r="L21" s="3">
        <f>+L13/L12</f>
        <v>-0.4910380881254684</v>
      </c>
      <c r="M21" s="3">
        <f>+M13/M12</f>
        <v>3.1605562579013806E-2</v>
      </c>
      <c r="N21" s="3">
        <f>+N13/N12</f>
        <v>0.2142197599261309</v>
      </c>
      <c r="O21" s="3">
        <f>+O13/O12</f>
        <v>-4.1742218192807504E-2</v>
      </c>
      <c r="P21" s="3">
        <f t="shared" ref="P21:R21" si="20">+P13/P12</f>
        <v>0.2</v>
      </c>
      <c r="Q21" s="3">
        <f t="shared" si="20"/>
        <v>0.2</v>
      </c>
      <c r="R21" s="3">
        <f t="shared" si="20"/>
        <v>0.2</v>
      </c>
      <c r="AA21" s="3">
        <f>+AA13/AA12</f>
        <v>-2.9505901180236042E-3</v>
      </c>
      <c r="AB21" s="3">
        <f>+AB13/AB12</f>
        <v>-1.6183574879227055E-2</v>
      </c>
      <c r="AC21" s="3">
        <f>+AC13/AC12</f>
        <v>9.5895020188425065E-2</v>
      </c>
      <c r="AD21" s="3">
        <f>+AD13/AD12</f>
        <v>0.15621983436532752</v>
      </c>
    </row>
    <row r="22" spans="2:30" s="3" customFormat="1" x14ac:dyDescent="0.2"/>
    <row r="23" spans="2:30" s="3" customFormat="1" x14ac:dyDescent="0.2">
      <c r="B23" s="3" t="s">
        <v>82</v>
      </c>
      <c r="D23" s="3">
        <f t="shared" ref="D23:N23" si="21">+D3/C3-1</f>
        <v>6.2192919075144459E-2</v>
      </c>
      <c r="E23" s="3">
        <f t="shared" si="21"/>
        <v>8.1492440861860915E-2</v>
      </c>
      <c r="F23" s="3">
        <f t="shared" si="21"/>
        <v>0.14810912807610688</v>
      </c>
      <c r="G23" s="3">
        <f t="shared" si="21"/>
        <v>0.11238940477168735</v>
      </c>
      <c r="H23" s="3">
        <f t="shared" si="21"/>
        <v>8.8229500123122362E-2</v>
      </c>
      <c r="I23" s="3">
        <f t="shared" si="21"/>
        <v>8.6880275156699049E-2</v>
      </c>
      <c r="J23" s="3">
        <f t="shared" si="21"/>
        <v>8.0768229844376371E-2</v>
      </c>
      <c r="K23" s="3">
        <f t="shared" si="21"/>
        <v>0.11401024811218985</v>
      </c>
      <c r="L23" s="3">
        <f t="shared" si="21"/>
        <v>9.6644504197612058E-2</v>
      </c>
      <c r="M23" s="3">
        <f t="shared" si="21"/>
        <v>8.5029052578465603E-2</v>
      </c>
      <c r="N23" s="3">
        <f t="shared" si="21"/>
        <v>9.7083357553915173E-2</v>
      </c>
      <c r="O23" s="3">
        <f>+O3/N3-1</f>
        <v>0.10973275490942802</v>
      </c>
      <c r="P23" s="3">
        <f t="shared" ref="P23:R23" si="22">+P3/O3-1</f>
        <v>0.10000000000000009</v>
      </c>
      <c r="Q23" s="3">
        <f t="shared" si="22"/>
        <v>0.10000000000000009</v>
      </c>
      <c r="R23" s="3">
        <f t="shared" si="22"/>
        <v>0.10000000000000009</v>
      </c>
    </row>
    <row r="24" spans="2:30" s="9" customFormat="1" x14ac:dyDescent="0.2">
      <c r="B24" s="9" t="s">
        <v>23</v>
      </c>
      <c r="G24" s="9">
        <f>+G3/C3-1</f>
        <v>0.46712427745664731</v>
      </c>
      <c r="H24" s="9">
        <f>+H3/D3-1</f>
        <v>0.50308657721544825</v>
      </c>
      <c r="I24" s="9">
        <f>+I3/E3-1</f>
        <v>0.51057473071782367</v>
      </c>
      <c r="J24" s="9">
        <f>+J3/F3-1</f>
        <v>0.42197386802531023</v>
      </c>
      <c r="K24" s="9">
        <f>+K3/G3-1</f>
        <v>0.42404580152671767</v>
      </c>
      <c r="L24" s="9">
        <f>+L3/H3-1</f>
        <v>0.43505758830584029</v>
      </c>
      <c r="M24" s="9">
        <f>+M3/I3-1</f>
        <v>0.43261333472128238</v>
      </c>
      <c r="N24" s="9">
        <f>+N3/J3-1</f>
        <v>0.45423986746802281</v>
      </c>
      <c r="O24" s="9">
        <f>+O3/K3-1</f>
        <v>0.44865598602813384</v>
      </c>
      <c r="P24" s="9">
        <f t="shared" ref="P24:R24" si="23">+P3/L3-1</f>
        <v>0.45308856108925499</v>
      </c>
      <c r="Q24" s="9">
        <f t="shared" si="23"/>
        <v>0.47313789745974555</v>
      </c>
      <c r="R24" s="9">
        <f t="shared" si="23"/>
        <v>0.47705429678444888</v>
      </c>
      <c r="AA24" s="9" t="e">
        <f>+AA3/Z3-1</f>
        <v>#DIV/0!</v>
      </c>
      <c r="AB24" s="9">
        <f>+AB3/AA3-1</f>
        <v>0.47343004801173971</v>
      </c>
      <c r="AC24" s="9">
        <f>+AC3/AB3-1</f>
        <v>0.43739157498748304</v>
      </c>
      <c r="AD24" s="9">
        <f>+AD3/AC3-1</f>
        <v>0.46413160575324475</v>
      </c>
    </row>
    <row r="26" spans="2:30" x14ac:dyDescent="0.2">
      <c r="B26" s="1" t="s">
        <v>40</v>
      </c>
    </row>
    <row r="27" spans="2:30" x14ac:dyDescent="0.2">
      <c r="B27" s="1" t="s">
        <v>3</v>
      </c>
      <c r="K27" s="1">
        <v>641.09100000000001</v>
      </c>
      <c r="L27" s="1">
        <v>678.66499999999996</v>
      </c>
      <c r="M27" s="1">
        <v>701.73699999999997</v>
      </c>
      <c r="N27" s="1">
        <f>747.61+2.735</f>
        <v>750.34500000000003</v>
      </c>
      <c r="O27" s="1">
        <f>829.713+2.735</f>
        <v>832.44799999999998</v>
      </c>
    </row>
    <row r="28" spans="2:30" x14ac:dyDescent="0.2">
      <c r="B28" s="1" t="s">
        <v>41</v>
      </c>
      <c r="K28" s="1">
        <v>52.509</v>
      </c>
      <c r="L28" s="1">
        <v>53.405999999999999</v>
      </c>
      <c r="M28" s="1">
        <v>61.710999999999999</v>
      </c>
      <c r="N28" s="1">
        <v>88.974999999999994</v>
      </c>
      <c r="O28" s="1">
        <v>76.421000000000006</v>
      </c>
    </row>
    <row r="29" spans="2:30" x14ac:dyDescent="0.2">
      <c r="B29" s="1" t="s">
        <v>43</v>
      </c>
      <c r="K29" s="1">
        <v>40.137</v>
      </c>
      <c r="L29" s="1">
        <v>42.72</v>
      </c>
      <c r="M29" s="1">
        <v>46.124000000000002</v>
      </c>
      <c r="N29" s="1">
        <v>53.930999999999997</v>
      </c>
      <c r="O29" s="1">
        <v>60.396999999999998</v>
      </c>
    </row>
    <row r="30" spans="2:30" x14ac:dyDescent="0.2">
      <c r="B30" s="1" t="s">
        <v>59</v>
      </c>
      <c r="K30" s="1">
        <v>0</v>
      </c>
      <c r="L30" s="1">
        <v>2.363</v>
      </c>
      <c r="M30" s="1">
        <v>0</v>
      </c>
      <c r="N30" s="1">
        <v>0</v>
      </c>
      <c r="O30" s="1">
        <v>0</v>
      </c>
    </row>
    <row r="31" spans="2:30" x14ac:dyDescent="0.2">
      <c r="B31" s="1" t="s">
        <v>44</v>
      </c>
      <c r="K31" s="1">
        <v>7.4969999999999999</v>
      </c>
      <c r="L31" s="1">
        <v>7.7869999999999999</v>
      </c>
      <c r="M31" s="1">
        <v>9.5329999999999995</v>
      </c>
      <c r="N31" s="1">
        <v>7.282</v>
      </c>
      <c r="O31" s="1">
        <v>10.747</v>
      </c>
    </row>
    <row r="32" spans="2:30" x14ac:dyDescent="0.2">
      <c r="B32" s="1" t="s">
        <v>45</v>
      </c>
      <c r="K32" s="1">
        <v>12.842000000000001</v>
      </c>
      <c r="L32" s="1">
        <v>12.571</v>
      </c>
      <c r="M32" s="1">
        <v>12.007999999999999</v>
      </c>
      <c r="N32" s="1">
        <v>11.792</v>
      </c>
      <c r="O32" s="1">
        <v>13.209</v>
      </c>
    </row>
    <row r="33" spans="2:15" x14ac:dyDescent="0.2">
      <c r="B33" s="1" t="s">
        <v>57</v>
      </c>
      <c r="K33" s="1">
        <f>4.05+8.475</f>
        <v>12.524999999999999</v>
      </c>
      <c r="L33" s="1">
        <f>4.05+10.396</f>
        <v>14.446000000000002</v>
      </c>
      <c r="M33" s="1">
        <f>4.05+13.766</f>
        <v>17.815999999999999</v>
      </c>
      <c r="N33" s="1">
        <f>4.05+15.995</f>
        <v>20.044999999999998</v>
      </c>
      <c r="O33" s="1">
        <f>18.595+4.05</f>
        <v>22.645</v>
      </c>
    </row>
    <row r="34" spans="2:15" x14ac:dyDescent="0.2">
      <c r="B34" s="1" t="s">
        <v>46</v>
      </c>
      <c r="K34" s="1">
        <v>21.779</v>
      </c>
      <c r="L34" s="1">
        <v>20.975999999999999</v>
      </c>
      <c r="M34" s="1">
        <v>19.901</v>
      </c>
      <c r="N34" s="1">
        <v>19.103000000000002</v>
      </c>
      <c r="O34" s="1">
        <v>49.784999999999997</v>
      </c>
    </row>
    <row r="35" spans="2:15" x14ac:dyDescent="0.2">
      <c r="B35" s="1" t="s">
        <v>58</v>
      </c>
      <c r="K35" s="1">
        <v>0.63300000000000001</v>
      </c>
      <c r="L35" s="1">
        <v>0.63300000000000001</v>
      </c>
      <c r="M35" s="1">
        <v>0.63300000000000001</v>
      </c>
      <c r="N35" s="1">
        <v>0.76600000000000001</v>
      </c>
      <c r="O35" s="1">
        <v>0.76600000000000001</v>
      </c>
    </row>
    <row r="36" spans="2:15" x14ac:dyDescent="0.2">
      <c r="B36" s="1" t="s">
        <v>47</v>
      </c>
      <c r="K36" s="1">
        <v>1.3660000000000001</v>
      </c>
      <c r="L36" s="1">
        <v>1.236</v>
      </c>
      <c r="M36" s="1">
        <v>1.2509999999999999</v>
      </c>
      <c r="N36" s="1">
        <v>1.718</v>
      </c>
      <c r="O36" s="1">
        <v>2.2490000000000001</v>
      </c>
    </row>
    <row r="37" spans="2:15" s="2" customFormat="1" x14ac:dyDescent="0.2">
      <c r="B37" s="2" t="s">
        <v>48</v>
      </c>
      <c r="K37" s="2">
        <f>+SUM(K27:K36)</f>
        <v>790.37900000000002</v>
      </c>
      <c r="L37" s="2">
        <f>+SUM(L27:L36)</f>
        <v>834.80300000000011</v>
      </c>
      <c r="M37" s="2">
        <f>+SUM(M27:M36)</f>
        <v>870.71400000000006</v>
      </c>
      <c r="N37" s="2">
        <f>+SUM(N27:N36)</f>
        <v>953.95699999999999</v>
      </c>
      <c r="O37" s="2">
        <f>+SUM(O27:O36)</f>
        <v>1068.6670000000001</v>
      </c>
    </row>
    <row r="38" spans="2:15" x14ac:dyDescent="0.2">
      <c r="B38" s="1" t="s">
        <v>49</v>
      </c>
      <c r="K38" s="1">
        <v>0.98599999999999999</v>
      </c>
      <c r="L38" s="1">
        <v>2.3050000000000002</v>
      </c>
      <c r="M38" s="1">
        <v>2.7120000000000002</v>
      </c>
      <c r="N38" s="1">
        <v>2.4470000000000001</v>
      </c>
      <c r="O38" s="1">
        <v>2.625</v>
      </c>
    </row>
    <row r="39" spans="2:15" x14ac:dyDescent="0.2">
      <c r="B39" s="1" t="s">
        <v>50</v>
      </c>
      <c r="K39" s="1">
        <v>181.94200000000001</v>
      </c>
      <c r="L39" s="1">
        <v>192.75299999999999</v>
      </c>
      <c r="M39" s="1">
        <v>208.88800000000001</v>
      </c>
      <c r="N39" s="1">
        <v>249.19200000000001</v>
      </c>
      <c r="O39" s="1">
        <v>279.31299999999999</v>
      </c>
    </row>
    <row r="40" spans="2:15" x14ac:dyDescent="0.2">
      <c r="B40" s="1" t="s">
        <v>51</v>
      </c>
      <c r="K40" s="1">
        <v>0.92500000000000004</v>
      </c>
      <c r="L40" s="1">
        <v>6.2E-2</v>
      </c>
      <c r="M40" s="1">
        <v>5.5E-2</v>
      </c>
      <c r="N40" s="1">
        <v>0.79200000000000004</v>
      </c>
      <c r="O40" s="1">
        <v>0.36199999999999999</v>
      </c>
    </row>
    <row r="41" spans="2:15" x14ac:dyDescent="0.2">
      <c r="B41" s="1" t="s">
        <v>52</v>
      </c>
      <c r="K41" s="1">
        <v>18.96</v>
      </c>
      <c r="L41" s="1">
        <v>21.986000000000001</v>
      </c>
      <c r="M41" s="1">
        <v>23.279</v>
      </c>
      <c r="N41" s="1">
        <v>24.931000000000001</v>
      </c>
      <c r="O41" s="1">
        <v>21.422000000000001</v>
      </c>
    </row>
    <row r="42" spans="2:15" x14ac:dyDescent="0.2">
      <c r="B42" s="1" t="s">
        <v>53</v>
      </c>
      <c r="K42" s="1">
        <v>22.378</v>
      </c>
      <c r="L42" s="1">
        <v>21.292000000000002</v>
      </c>
      <c r="M42" s="1">
        <v>20.960999999999999</v>
      </c>
      <c r="N42" s="1">
        <v>21.094000000000001</v>
      </c>
      <c r="O42" s="1">
        <v>53.893000000000001</v>
      </c>
    </row>
    <row r="43" spans="2:15" s="2" customFormat="1" x14ac:dyDescent="0.2">
      <c r="B43" s="2" t="s">
        <v>54</v>
      </c>
      <c r="K43" s="2">
        <f>+SUM(K38:K42)</f>
        <v>225.19100000000003</v>
      </c>
      <c r="L43" s="2">
        <f>+SUM(L38:L42)</f>
        <v>238.398</v>
      </c>
      <c r="M43" s="2">
        <f>+SUM(M38:M42)</f>
        <v>255.89499999999998</v>
      </c>
      <c r="N43" s="2">
        <f>+SUM(N38:N42)</f>
        <v>298.45600000000002</v>
      </c>
      <c r="O43" s="2">
        <f>+SUM(O38:O42)</f>
        <v>357.61500000000001</v>
      </c>
    </row>
    <row r="44" spans="2:15" x14ac:dyDescent="0.2">
      <c r="B44" s="1" t="s">
        <v>55</v>
      </c>
      <c r="K44" s="1">
        <v>565.18799999999999</v>
      </c>
      <c r="L44" s="1">
        <v>596.40499999999997</v>
      </c>
      <c r="M44" s="1">
        <v>614.81899999999996</v>
      </c>
      <c r="N44" s="1">
        <v>655.50099999999998</v>
      </c>
      <c r="O44" s="1">
        <v>711.05200000000002</v>
      </c>
    </row>
    <row r="45" spans="2:15" x14ac:dyDescent="0.2">
      <c r="B45" s="1" t="s">
        <v>56</v>
      </c>
      <c r="K45" s="1">
        <f>+K44+K43</f>
        <v>790.37900000000002</v>
      </c>
      <c r="L45" s="1">
        <f>+L44+L43</f>
        <v>834.803</v>
      </c>
      <c r="M45" s="1">
        <f>+M44+M43</f>
        <v>870.71399999999994</v>
      </c>
      <c r="N45" s="1">
        <f>+N44+N43</f>
        <v>953.95699999999999</v>
      </c>
      <c r="O45" s="1">
        <f>+O44+O43</f>
        <v>1068.6669999999999</v>
      </c>
    </row>
    <row r="46" spans="2:15" s="3" customFormat="1" x14ac:dyDescent="0.2"/>
    <row r="47" spans="2:15" x14ac:dyDescent="0.2">
      <c r="B47" s="1" t="s">
        <v>62</v>
      </c>
      <c r="L47" s="1">
        <f>+L39-K39+L14</f>
        <v>14.80399999999997</v>
      </c>
      <c r="M47" s="1">
        <f>+M39-L39+M14</f>
        <v>19.965000000000032</v>
      </c>
      <c r="N47" s="1">
        <f>+N39-M39+N14</f>
        <v>51.367000000000019</v>
      </c>
      <c r="O47" s="1">
        <f>+O39-N39+O14</f>
        <v>57.697999999999979</v>
      </c>
    </row>
    <row r="48" spans="2:15" x14ac:dyDescent="0.2">
      <c r="B48" s="1" t="s">
        <v>60</v>
      </c>
      <c r="K48" s="1">
        <f t="shared" ref="K48:N48" si="24">+SUM(H14:K14)</f>
        <v>-49.508000000000003</v>
      </c>
      <c r="L48" s="1">
        <f t="shared" si="24"/>
        <v>-31.009000000000004</v>
      </c>
      <c r="M48" s="1">
        <f t="shared" si="24"/>
        <v>-9.223999999999986</v>
      </c>
      <c r="N48" s="1">
        <f t="shared" si="24"/>
        <v>16.122000000000014</v>
      </c>
      <c r="O48" s="1">
        <f>+SUM(L14:O14)</f>
        <v>46.463000000000008</v>
      </c>
    </row>
    <row r="49" spans="2:15" s="10" customFormat="1" x14ac:dyDescent="0.2">
      <c r="B49" s="10" t="s">
        <v>61</v>
      </c>
      <c r="K49" s="10">
        <f t="shared" ref="K49:N49" si="25">+K48/(K29+K30+K31+K32+K34+K35+K36)</f>
        <v>-0.58760414935789407</v>
      </c>
      <c r="L49" s="10">
        <f t="shared" si="25"/>
        <v>-0.35123349115375035</v>
      </c>
      <c r="M49" s="10">
        <f t="shared" si="25"/>
        <v>-0.10311906092789251</v>
      </c>
      <c r="N49" s="10">
        <f t="shared" si="25"/>
        <v>0.1704372462787552</v>
      </c>
      <c r="O49" s="10">
        <f>+O48/(O29+O30+O31+O32+O34+O35+O36)</f>
        <v>0.33876765364228278</v>
      </c>
    </row>
    <row r="50" spans="2:15" s="3" customFormat="1" x14ac:dyDescent="0.2"/>
    <row r="51" spans="2:15" x14ac:dyDescent="0.2">
      <c r="B51" s="1" t="s">
        <v>63</v>
      </c>
      <c r="K51" s="1">
        <f>+K14</f>
        <v>-2.7640000000000051</v>
      </c>
      <c r="L51" s="1">
        <f>+L14</f>
        <v>3.992999999999991</v>
      </c>
      <c r="M51" s="1">
        <f>+M14</f>
        <v>3.8300000000000125</v>
      </c>
      <c r="N51" s="1">
        <f>+N14</f>
        <v>11.063000000000015</v>
      </c>
      <c r="O51" s="1">
        <f>+O14</f>
        <v>27.576999999999995</v>
      </c>
    </row>
    <row r="52" spans="2:15" x14ac:dyDescent="0.2">
      <c r="B52" s="1" t="s">
        <v>64</v>
      </c>
      <c r="K52" s="1">
        <v>-2.5819999999999999</v>
      </c>
      <c r="L52" s="1">
        <f>1.143-K52</f>
        <v>3.7249999999999996</v>
      </c>
      <c r="M52" s="1">
        <f>3.95-SUM(K52:L52)</f>
        <v>2.8070000000000004</v>
      </c>
      <c r="N52" s="1">
        <f>16.067-SUM(K52:M52)</f>
        <v>12.117000000000001</v>
      </c>
      <c r="O52" s="1">
        <v>26.956</v>
      </c>
    </row>
    <row r="53" spans="2:15" x14ac:dyDescent="0.2">
      <c r="B53" s="1" t="s">
        <v>65</v>
      </c>
      <c r="K53" s="1">
        <v>1.762</v>
      </c>
      <c r="L53" s="1">
        <f>3.396-K53</f>
        <v>1.6339999999999999</v>
      </c>
      <c r="M53" s="1">
        <f>5.053-SUM(K53:L53)</f>
        <v>1.657</v>
      </c>
      <c r="N53" s="1">
        <f>7.095-SUM(K53:M53)</f>
        <v>2.0419999999999998</v>
      </c>
      <c r="O53" s="1">
        <v>2.0739999999999998</v>
      </c>
    </row>
    <row r="54" spans="2:15" x14ac:dyDescent="0.2">
      <c r="B54" s="1" t="s">
        <v>66</v>
      </c>
      <c r="K54" s="1">
        <v>21.073</v>
      </c>
      <c r="L54" s="1">
        <f>44.787-K54</f>
        <v>23.713999999999999</v>
      </c>
      <c r="M54" s="1">
        <f>70.219-SUM(K54:L54)</f>
        <v>25.431999999999995</v>
      </c>
      <c r="N54" s="1">
        <f>95.221-SUM(K54:M54)</f>
        <v>25.00200000000001</v>
      </c>
      <c r="O54" s="1">
        <v>24.984999999999999</v>
      </c>
    </row>
    <row r="55" spans="2:15" x14ac:dyDescent="0.2">
      <c r="B55" s="1" t="s">
        <v>67</v>
      </c>
      <c r="K55" s="1">
        <v>-0.1</v>
      </c>
      <c r="L55" s="1">
        <f>-0.1-K55</f>
        <v>0</v>
      </c>
      <c r="M55" s="1">
        <f>-0.1-SUM(K55:L55)</f>
        <v>0</v>
      </c>
      <c r="N55" s="1">
        <f>-0.1-SUM(K55:M55)</f>
        <v>0</v>
      </c>
      <c r="O55" s="1">
        <v>0</v>
      </c>
    </row>
    <row r="56" spans="2:15" x14ac:dyDescent="0.2">
      <c r="B56" s="1" t="s">
        <v>77</v>
      </c>
      <c r="K56" s="1">
        <v>0</v>
      </c>
      <c r="L56" s="1">
        <v>0</v>
      </c>
      <c r="M56" s="1">
        <f>0.417-SUM(K56:L56)</f>
        <v>0.41699999999999998</v>
      </c>
      <c r="N56" s="1">
        <f>0.433-SUM(K56:M56)</f>
        <v>1.6000000000000014E-2</v>
      </c>
    </row>
    <row r="57" spans="2:15" x14ac:dyDescent="0.2">
      <c r="B57" s="1" t="s">
        <v>50</v>
      </c>
      <c r="K57" s="1">
        <v>24.391999999999999</v>
      </c>
      <c r="L57" s="1">
        <f>35.203-K57</f>
        <v>10.811000000000003</v>
      </c>
      <c r="M57" s="1">
        <f>51.338-SUM(K57:L57)</f>
        <v>16.134999999999998</v>
      </c>
      <c r="N57" s="1">
        <f>91.642-SUM(K57:M57)</f>
        <v>40.303999999999995</v>
      </c>
      <c r="O57" s="1">
        <v>30.120999999999999</v>
      </c>
    </row>
    <row r="58" spans="2:15" x14ac:dyDescent="0.2">
      <c r="B58" s="1" t="s">
        <v>41</v>
      </c>
      <c r="K58" s="1">
        <v>-5.7809999999999997</v>
      </c>
      <c r="L58" s="1">
        <f>-6.678-K58</f>
        <v>-0.89700000000000024</v>
      </c>
      <c r="M58" s="1">
        <f>-14.983-SUM(K58:L58)</f>
        <v>-8.3049999999999997</v>
      </c>
      <c r="N58" s="1">
        <f>-42.247-SUM(K58:M58)</f>
        <v>-27.263999999999999</v>
      </c>
      <c r="O58" s="1">
        <v>12.554</v>
      </c>
    </row>
    <row r="59" spans="2:15" x14ac:dyDescent="0.2">
      <c r="B59" s="1" t="s">
        <v>42</v>
      </c>
      <c r="K59" s="1">
        <v>-5.0960000000000001</v>
      </c>
      <c r="L59" s="1">
        <f>-7.679-K59</f>
        <v>-2.5830000000000002</v>
      </c>
      <c r="M59" s="1">
        <f>-11.083-SUM(K59:L59)</f>
        <v>-3.4039999999999999</v>
      </c>
      <c r="N59" s="1">
        <f>-18.89-SUM(K59:M59)</f>
        <v>-7.8070000000000004</v>
      </c>
      <c r="O59" s="1">
        <v>-6.4660000000000002</v>
      </c>
    </row>
    <row r="60" spans="2:15" x14ac:dyDescent="0.2">
      <c r="B60" s="1" t="s">
        <v>44</v>
      </c>
      <c r="K60" s="1">
        <v>-0.26300000000000001</v>
      </c>
      <c r="L60" s="1">
        <f>-2.916-K60</f>
        <v>-2.653</v>
      </c>
      <c r="M60" s="1">
        <f>-2.299-SUM(K60:L60)</f>
        <v>0.61699999999999999</v>
      </c>
      <c r="N60" s="1">
        <f>-0.048-SUM(K60:M60)</f>
        <v>2.2509999999999999</v>
      </c>
      <c r="O60" s="1">
        <v>-3.4649999999999999</v>
      </c>
    </row>
    <row r="61" spans="2:15" x14ac:dyDescent="0.2">
      <c r="B61" s="1" t="s">
        <v>49</v>
      </c>
      <c r="K61" s="1">
        <v>-0.34499999999999997</v>
      </c>
      <c r="L61" s="1">
        <f>1.059-K61</f>
        <v>1.4039999999999999</v>
      </c>
      <c r="M61" s="1">
        <f>1.403-SUM(K61:L61)</f>
        <v>0.34400000000000008</v>
      </c>
      <c r="N61" s="1">
        <f>1.261-SUM(K61:M61)</f>
        <v>-0.14200000000000013</v>
      </c>
      <c r="O61" s="1">
        <v>-0.39800000000000002</v>
      </c>
    </row>
    <row r="62" spans="2:15" x14ac:dyDescent="0.2">
      <c r="B62" s="1" t="s">
        <v>52</v>
      </c>
      <c r="K62" s="1">
        <v>-3.2010000000000001</v>
      </c>
      <c r="L62" s="1">
        <f>-1.036-K62</f>
        <v>2.165</v>
      </c>
      <c r="M62" s="1">
        <f>0.185-SUM(K62:L62)</f>
        <v>1.2210000000000001</v>
      </c>
      <c r="N62" s="1">
        <f>3.444-SUM(K62:M62)</f>
        <v>3.2589999999999999</v>
      </c>
      <c r="O62" s="1">
        <v>-4.5140000000000002</v>
      </c>
    </row>
    <row r="63" spans="2:15" x14ac:dyDescent="0.2">
      <c r="B63" s="1" t="s">
        <v>68</v>
      </c>
      <c r="K63" s="1">
        <v>-0.255</v>
      </c>
      <c r="L63" s="1">
        <f>-0.408-K63</f>
        <v>-0.15299999999999997</v>
      </c>
      <c r="M63" s="1">
        <f>0.321-SUM(K63:L63)</f>
        <v>0.72899999999999998</v>
      </c>
      <c r="N63" s="1">
        <f>-0.264-SUM(K63:M63)</f>
        <v>-0.58499999999999996</v>
      </c>
      <c r="O63" s="1">
        <v>1.667</v>
      </c>
    </row>
    <row r="64" spans="2:15" x14ac:dyDescent="0.2">
      <c r="B64" s="1" t="s">
        <v>69</v>
      </c>
      <c r="K64" s="1">
        <f>+SUM(K57:K63)</f>
        <v>9.4509999999999987</v>
      </c>
      <c r="L64" s="1">
        <f>+SUM(L57:L63)</f>
        <v>8.094000000000003</v>
      </c>
      <c r="M64" s="1">
        <f>+SUM(M57:M63)</f>
        <v>7.3369999999999989</v>
      </c>
      <c r="N64" s="1">
        <f>+SUM(N57:N63)</f>
        <v>10.015999999999995</v>
      </c>
      <c r="O64" s="1">
        <f>+SUM(O57:O63)</f>
        <v>29.498999999999999</v>
      </c>
    </row>
    <row r="65" spans="2:15" s="2" customFormat="1" x14ac:dyDescent="0.2">
      <c r="B65" s="2" t="s">
        <v>70</v>
      </c>
      <c r="K65" s="2">
        <f>+K64+SUM(K52:K55)</f>
        <v>29.603999999999999</v>
      </c>
      <c r="L65" s="2">
        <f>+L64+SUM(L52:L55)</f>
        <v>37.167000000000002</v>
      </c>
      <c r="M65" s="2">
        <f>+M64+SUM(M52:M55)</f>
        <v>37.23299999999999</v>
      </c>
      <c r="N65" s="2">
        <f>+N64+SUM(N52:N55)</f>
        <v>49.177000000000007</v>
      </c>
      <c r="O65" s="2">
        <f>+O64+SUM(O52:O55)</f>
        <v>83.513999999999996</v>
      </c>
    </row>
    <row r="67" spans="2:15" x14ac:dyDescent="0.2">
      <c r="B67" s="1" t="s">
        <v>71</v>
      </c>
      <c r="K67" s="1">
        <f>-0.731-0.681+0.1</f>
        <v>-1.3119999999999998</v>
      </c>
      <c r="L67" s="1">
        <f>-3.275-1.508+0.1-K67</f>
        <v>-3.371</v>
      </c>
      <c r="M67" s="1">
        <f>-7.269-2.267+0.1-SUM(K67:L67)</f>
        <v>-4.7530000000000001</v>
      </c>
      <c r="N67" s="1">
        <f>-10.493-3.191+0.1-SUM(K67:M67)</f>
        <v>-4.1480000000000015</v>
      </c>
      <c r="O67" s="1">
        <f>+-3.607-1.414</f>
        <v>-5.0209999999999999</v>
      </c>
    </row>
    <row r="68" spans="2:15" x14ac:dyDescent="0.2">
      <c r="B68" s="1" t="s">
        <v>73</v>
      </c>
      <c r="K68" s="1">
        <f>+K67</f>
        <v>-1.3119999999999998</v>
      </c>
      <c r="L68" s="1">
        <f>-3.275-1.508+0.1-K68</f>
        <v>-3.371</v>
      </c>
      <c r="M68" s="1">
        <f>-7.269-2.267+0.1-SUM(K68:L68)</f>
        <v>-4.7530000000000001</v>
      </c>
      <c r="N68" s="1">
        <f>-7.269-2.267+0.1-SUM(L68:M68)</f>
        <v>-1.3119999999999994</v>
      </c>
      <c r="O68" s="1">
        <f>+O67</f>
        <v>-5.0209999999999999</v>
      </c>
    </row>
    <row r="70" spans="2:15" x14ac:dyDescent="0.2">
      <c r="B70" s="1" t="s">
        <v>79</v>
      </c>
      <c r="K70" s="1">
        <v>0</v>
      </c>
      <c r="L70" s="1">
        <v>0</v>
      </c>
      <c r="M70" s="1">
        <v>0</v>
      </c>
      <c r="N70" s="1">
        <v>13.617000000000001</v>
      </c>
      <c r="O70" s="1">
        <v>0</v>
      </c>
    </row>
    <row r="71" spans="2:15" x14ac:dyDescent="0.2">
      <c r="B71" s="1" t="s">
        <v>72</v>
      </c>
      <c r="K71" s="1">
        <v>4.6189999999999998</v>
      </c>
      <c r="L71" s="1">
        <f>8.397-K71</f>
        <v>3.7780000000000005</v>
      </c>
      <c r="M71" s="1">
        <f>10.054-SUM(K71:L71)</f>
        <v>1.657</v>
      </c>
      <c r="N71" s="1">
        <v>0</v>
      </c>
      <c r="O71" s="1">
        <v>3.61</v>
      </c>
    </row>
    <row r="72" spans="2:15" x14ac:dyDescent="0.2">
      <c r="B72" s="1" t="s">
        <v>78</v>
      </c>
      <c r="K72" s="1">
        <v>0</v>
      </c>
      <c r="L72" s="1">
        <v>0</v>
      </c>
      <c r="M72" s="1">
        <v>-11.481999999999999</v>
      </c>
      <c r="N72" s="1">
        <f>-11.482-SUM(K72:M72)</f>
        <v>0</v>
      </c>
    </row>
    <row r="73" spans="2:15" x14ac:dyDescent="0.2">
      <c r="B73" s="1" t="s">
        <v>74</v>
      </c>
      <c r="K73" s="1">
        <f t="shared" ref="K73:M73" si="26">+SUM(K70:K72)</f>
        <v>4.6189999999999998</v>
      </c>
      <c r="L73" s="1">
        <f t="shared" si="26"/>
        <v>3.7780000000000005</v>
      </c>
      <c r="M73" s="1">
        <f t="shared" si="26"/>
        <v>-9.8249999999999993</v>
      </c>
      <c r="N73" s="1">
        <f>+SUM(N70:N72)</f>
        <v>13.617000000000001</v>
      </c>
      <c r="O73" s="1">
        <f>+SUM(O70:O72)</f>
        <v>3.61</v>
      </c>
    </row>
    <row r="75" spans="2:15" x14ac:dyDescent="0.2">
      <c r="B75" s="1" t="s">
        <v>75</v>
      </c>
      <c r="K75" s="1">
        <f>+K65+K68+K73</f>
        <v>32.911000000000001</v>
      </c>
      <c r="L75" s="1">
        <f>+L65+L68+L73</f>
        <v>37.573999999999998</v>
      </c>
      <c r="M75" s="1">
        <f>+M65+M68+M73</f>
        <v>22.65499999999999</v>
      </c>
      <c r="N75" s="1">
        <f>+N65+N68+N73</f>
        <v>61.482000000000014</v>
      </c>
      <c r="O75" s="1">
        <f>+O65+O68+O73</f>
        <v>82.102999999999994</v>
      </c>
    </row>
    <row r="77" spans="2:15" x14ac:dyDescent="0.2">
      <c r="B77" s="1" t="s">
        <v>76</v>
      </c>
      <c r="K77" s="1">
        <f>+K65+K67</f>
        <v>28.291999999999998</v>
      </c>
      <c r="L77" s="1">
        <f>+L65+L67</f>
        <v>33.795999999999999</v>
      </c>
      <c r="M77" s="1">
        <f>+M65+M67</f>
        <v>32.47999999999999</v>
      </c>
      <c r="N77" s="1">
        <f>+N65+N67</f>
        <v>45.029000000000003</v>
      </c>
      <c r="O77" s="1">
        <f>+O65+O67</f>
        <v>78.492999999999995</v>
      </c>
    </row>
    <row r="78" spans="2:15" x14ac:dyDescent="0.2">
      <c r="B78" s="1" t="s">
        <v>80</v>
      </c>
      <c r="N78" s="1">
        <f>+SUM(K77:N77)</f>
        <v>139.59699999999998</v>
      </c>
      <c r="O78" s="1">
        <f>+SUM(L77:O77)</f>
        <v>189.79799999999997</v>
      </c>
    </row>
    <row r="80" spans="2:15" x14ac:dyDescent="0.2">
      <c r="B80" s="1" t="s">
        <v>81</v>
      </c>
      <c r="N80" s="1">
        <f>+SUM(K65:N65)</f>
        <v>153.18099999999998</v>
      </c>
      <c r="O80" s="1">
        <f>+SUM(L65:O65)</f>
        <v>207.09100000000001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Hesselberth</dc:creator>
  <cp:lastModifiedBy>Dennis Hesselberth</cp:lastModifiedBy>
  <dcterms:created xsi:type="dcterms:W3CDTF">2024-07-24T18:36:05Z</dcterms:created>
  <dcterms:modified xsi:type="dcterms:W3CDTF">2024-07-24T21:32:18Z</dcterms:modified>
</cp:coreProperties>
</file>