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32451CB8-3710-40EC-9DC0-5FB343C43BAA}" xr6:coauthVersionLast="47" xr6:coauthVersionMax="47" xr10:uidLastSave="{00000000-0000-0000-0000-000000000000}"/>
  <bookViews>
    <workbookView xWindow="-120" yWindow="-120" windowWidth="29040" windowHeight="15840" activeTab="1" xr2:uid="{AEEC147A-EF6F-436F-ACD9-BEEEB1006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2" l="1"/>
  <c r="L93" i="2"/>
  <c r="L96" i="2"/>
  <c r="L95" i="2"/>
  <c r="L90" i="2"/>
  <c r="L83" i="2"/>
  <c r="L80" i="2"/>
  <c r="L78" i="2"/>
  <c r="L77" i="2"/>
  <c r="K77" i="2"/>
  <c r="L69" i="2"/>
  <c r="L67" i="2"/>
  <c r="L64" i="2"/>
  <c r="L61" i="2"/>
  <c r="L62" i="2" s="1"/>
  <c r="L60" i="2"/>
  <c r="L39" i="2"/>
  <c r="L50" i="2"/>
  <c r="L47" i="2"/>
  <c r="L40" i="2"/>
  <c r="S20" i="2"/>
  <c r="T20" i="2"/>
  <c r="L37" i="2"/>
  <c r="L35" i="2"/>
  <c r="L34" i="2"/>
  <c r="L33" i="2"/>
  <c r="L30" i="2"/>
  <c r="L29" i="2"/>
  <c r="L27" i="2"/>
  <c r="L24" i="2"/>
  <c r="L25" i="2" s="1"/>
  <c r="L20" i="2"/>
  <c r="L15" i="2"/>
  <c r="L14" i="2"/>
  <c r="L13" i="2"/>
  <c r="L12" i="2"/>
  <c r="K12" i="2"/>
  <c r="U20" i="2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L65" i="2" l="1"/>
  <c r="L66" i="2"/>
  <c r="K39" i="2" l="1"/>
  <c r="K96" i="2"/>
  <c r="K95" i="2"/>
  <c r="K93" i="2"/>
  <c r="K90" i="2"/>
  <c r="K83" i="2"/>
  <c r="K80" i="2"/>
  <c r="K78" i="2"/>
  <c r="K97" i="2" s="1"/>
  <c r="K60" i="2"/>
  <c r="F60" i="2"/>
  <c r="E60" i="2"/>
  <c r="C57" i="2"/>
  <c r="C60" i="2" s="1"/>
  <c r="D57" i="2"/>
  <c r="D60" i="2" s="1"/>
  <c r="E57" i="2"/>
  <c r="F57" i="2"/>
  <c r="G57" i="2"/>
  <c r="H57" i="2"/>
  <c r="H60" i="2" s="1"/>
  <c r="I57" i="2"/>
  <c r="I60" i="2" s="1"/>
  <c r="J57" i="2"/>
  <c r="J60" i="2" s="1"/>
  <c r="C58" i="2"/>
  <c r="D58" i="2"/>
  <c r="E58" i="2"/>
  <c r="F58" i="2"/>
  <c r="G58" i="2"/>
  <c r="G60" i="2" s="1"/>
  <c r="H58" i="2"/>
  <c r="I58" i="2"/>
  <c r="J58" i="2"/>
  <c r="K44" i="2" l="1"/>
  <c r="J44" i="2"/>
  <c r="I44" i="2"/>
  <c r="H44" i="2"/>
  <c r="G44" i="2"/>
  <c r="F44" i="2"/>
  <c r="E44" i="2"/>
  <c r="D44" i="2"/>
  <c r="K40" i="2"/>
  <c r="K24" i="2"/>
  <c r="K20" i="2"/>
  <c r="K15" i="2"/>
  <c r="K14" i="2"/>
  <c r="K13" i="2"/>
  <c r="T31" i="2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T23" i="2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T22" i="2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T21" i="2"/>
  <c r="P24" i="2"/>
  <c r="P20" i="2"/>
  <c r="Q24" i="2"/>
  <c r="Q20" i="2"/>
  <c r="E90" i="2"/>
  <c r="E80" i="2"/>
  <c r="E83" i="2" s="1"/>
  <c r="E77" i="2"/>
  <c r="E78" i="2" s="1"/>
  <c r="I90" i="2"/>
  <c r="I80" i="2"/>
  <c r="I83" i="2" s="1"/>
  <c r="I77" i="2"/>
  <c r="I78" i="2" s="1"/>
  <c r="E40" i="2"/>
  <c r="E50" i="2" s="1"/>
  <c r="I40" i="2"/>
  <c r="D90" i="2"/>
  <c r="D80" i="2"/>
  <c r="D83" i="2" s="1"/>
  <c r="D77" i="2"/>
  <c r="D78" i="2" s="1"/>
  <c r="H90" i="2"/>
  <c r="H80" i="2"/>
  <c r="H83" i="2" s="1"/>
  <c r="H77" i="2"/>
  <c r="H78" i="2" s="1"/>
  <c r="D40" i="2"/>
  <c r="D50" i="2" s="1"/>
  <c r="H40" i="2"/>
  <c r="H50" i="2" s="1"/>
  <c r="E24" i="2"/>
  <c r="E20" i="2"/>
  <c r="I24" i="2"/>
  <c r="D24" i="2"/>
  <c r="D20" i="2"/>
  <c r="H24" i="2"/>
  <c r="C90" i="2"/>
  <c r="C80" i="2"/>
  <c r="C83" i="2" s="1"/>
  <c r="C77" i="2"/>
  <c r="C78" i="2" s="1"/>
  <c r="G90" i="2"/>
  <c r="G80" i="2"/>
  <c r="G83" i="2" s="1"/>
  <c r="G77" i="2"/>
  <c r="G78" i="2" s="1"/>
  <c r="C40" i="2"/>
  <c r="C50" i="2" s="1"/>
  <c r="G40" i="2"/>
  <c r="G50" i="2" s="1"/>
  <c r="F39" i="2"/>
  <c r="C24" i="2"/>
  <c r="C20" i="2"/>
  <c r="G24" i="2"/>
  <c r="F15" i="2"/>
  <c r="E15" i="2"/>
  <c r="D15" i="2"/>
  <c r="F14" i="2"/>
  <c r="E14" i="2"/>
  <c r="D14" i="2"/>
  <c r="F13" i="2"/>
  <c r="E13" i="2"/>
  <c r="D13" i="2"/>
  <c r="F12" i="2"/>
  <c r="E12" i="2"/>
  <c r="D12" i="2"/>
  <c r="K50" i="2" l="1"/>
  <c r="K61" i="2" s="1"/>
  <c r="K62" i="2" s="1"/>
  <c r="I50" i="2"/>
  <c r="K25" i="2"/>
  <c r="K27" i="2" s="1"/>
  <c r="D97" i="2"/>
  <c r="Q37" i="2"/>
  <c r="T24" i="2"/>
  <c r="U21" i="2"/>
  <c r="C93" i="2"/>
  <c r="C97" i="2"/>
  <c r="C96" i="2"/>
  <c r="C95" i="2"/>
  <c r="I97" i="2"/>
  <c r="I96" i="2"/>
  <c r="I95" i="2"/>
  <c r="I93" i="2"/>
  <c r="E93" i="2"/>
  <c r="E97" i="2"/>
  <c r="E96" i="2"/>
  <c r="E95" i="2"/>
  <c r="G97" i="2"/>
  <c r="G96" i="2"/>
  <c r="G95" i="2"/>
  <c r="G93" i="2"/>
  <c r="H97" i="2"/>
  <c r="H96" i="2"/>
  <c r="H95" i="2"/>
  <c r="H93" i="2"/>
  <c r="D93" i="2"/>
  <c r="D95" i="2"/>
  <c r="D96" i="2"/>
  <c r="P25" i="2"/>
  <c r="Q25" i="2"/>
  <c r="E25" i="2"/>
  <c r="E33" i="2" s="1"/>
  <c r="D25" i="2"/>
  <c r="D27" i="2" s="1"/>
  <c r="C25" i="2"/>
  <c r="C33" i="2" s="1"/>
  <c r="I15" i="2"/>
  <c r="H15" i="2"/>
  <c r="G15" i="2"/>
  <c r="I14" i="2"/>
  <c r="H14" i="2"/>
  <c r="G14" i="2"/>
  <c r="I13" i="2"/>
  <c r="H13" i="2"/>
  <c r="G13" i="2"/>
  <c r="I12" i="2"/>
  <c r="H12" i="2"/>
  <c r="G12" i="2"/>
  <c r="J15" i="2"/>
  <c r="J14" i="2"/>
  <c r="J13" i="2"/>
  <c r="J12" i="2"/>
  <c r="G20" i="2"/>
  <c r="G37" i="2" s="1"/>
  <c r="H20" i="2"/>
  <c r="H37" i="2" s="1"/>
  <c r="I20" i="2"/>
  <c r="I37" i="2" s="1"/>
  <c r="U4" i="2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F80" i="2"/>
  <c r="F83" i="2" s="1"/>
  <c r="F77" i="2"/>
  <c r="F78" i="2" s="1"/>
  <c r="F90" i="2"/>
  <c r="J90" i="2"/>
  <c r="J80" i="2"/>
  <c r="J83" i="2" s="1"/>
  <c r="J77" i="2"/>
  <c r="J78" i="2" s="1"/>
  <c r="F40" i="2"/>
  <c r="F50" i="2" s="1"/>
  <c r="F46" i="2"/>
  <c r="L9" i="1"/>
  <c r="J39" i="2"/>
  <c r="S39" i="2" s="1"/>
  <c r="T26" i="2" s="1"/>
  <c r="J40" i="2"/>
  <c r="J50" i="2" s="1"/>
  <c r="R24" i="2"/>
  <c r="R20" i="2"/>
  <c r="R37" i="2" s="1"/>
  <c r="S24" i="2"/>
  <c r="F24" i="2"/>
  <c r="F20" i="2"/>
  <c r="J24" i="2"/>
  <c r="J20" i="2"/>
  <c r="L5" i="1"/>
  <c r="L8" i="1" s="1"/>
  <c r="L10" i="1" s="1"/>
  <c r="C61" i="2" l="1"/>
  <c r="C62" i="2" s="1"/>
  <c r="I61" i="2"/>
  <c r="I62" i="2" s="1"/>
  <c r="H61" i="2"/>
  <c r="H62" i="2" s="1"/>
  <c r="K33" i="2"/>
  <c r="G61" i="2"/>
  <c r="G62" i="2" s="1"/>
  <c r="K37" i="2"/>
  <c r="K35" i="2"/>
  <c r="K29" i="2"/>
  <c r="K69" i="2" s="1"/>
  <c r="D61" i="2"/>
  <c r="D62" i="2" s="1"/>
  <c r="H25" i="2"/>
  <c r="H27" i="2" s="1"/>
  <c r="E61" i="2"/>
  <c r="E62" i="2" s="1"/>
  <c r="G25" i="2"/>
  <c r="G33" i="2" s="1"/>
  <c r="V21" i="2"/>
  <c r="U24" i="2"/>
  <c r="Q27" i="2"/>
  <c r="Q33" i="2"/>
  <c r="P27" i="2"/>
  <c r="P33" i="2"/>
  <c r="I25" i="2"/>
  <c r="S37" i="2"/>
  <c r="E27" i="2"/>
  <c r="E29" i="2" s="1"/>
  <c r="D33" i="2"/>
  <c r="D35" i="2"/>
  <c r="D29" i="2"/>
  <c r="C27" i="2"/>
  <c r="C35" i="2" s="1"/>
  <c r="J37" i="2"/>
  <c r="J93" i="2"/>
  <c r="F93" i="2"/>
  <c r="J25" i="2"/>
  <c r="J95" i="2"/>
  <c r="J96" i="2"/>
  <c r="J97" i="2"/>
  <c r="F97" i="2"/>
  <c r="F95" i="2"/>
  <c r="F96" i="2"/>
  <c r="R25" i="2"/>
  <c r="S25" i="2"/>
  <c r="F25" i="2"/>
  <c r="D69" i="2" l="1"/>
  <c r="E69" i="2"/>
  <c r="K34" i="2"/>
  <c r="K30" i="2"/>
  <c r="G27" i="2"/>
  <c r="G35" i="2" s="1"/>
  <c r="H33" i="2"/>
  <c r="W21" i="2"/>
  <c r="V24" i="2"/>
  <c r="F27" i="2"/>
  <c r="F33" i="2"/>
  <c r="R27" i="2"/>
  <c r="R33" i="2"/>
  <c r="I27" i="2"/>
  <c r="I33" i="2"/>
  <c r="S27" i="2"/>
  <c r="S33" i="2"/>
  <c r="T37" i="2"/>
  <c r="T25" i="2"/>
  <c r="P29" i="2"/>
  <c r="P35" i="2"/>
  <c r="J27" i="2"/>
  <c r="J33" i="2"/>
  <c r="Q29" i="2"/>
  <c r="Q35" i="2"/>
  <c r="H29" i="2"/>
  <c r="H35" i="2"/>
  <c r="E35" i="2"/>
  <c r="E34" i="2"/>
  <c r="E30" i="2"/>
  <c r="D34" i="2"/>
  <c r="D30" i="2"/>
  <c r="C29" i="2"/>
  <c r="J61" i="2"/>
  <c r="J62" i="2" s="1"/>
  <c r="F61" i="2"/>
  <c r="F62" i="2" s="1"/>
  <c r="K64" i="2" l="1"/>
  <c r="K67" i="2" s="1"/>
  <c r="G29" i="2"/>
  <c r="X21" i="2"/>
  <c r="W24" i="2"/>
  <c r="U37" i="2"/>
  <c r="U25" i="2"/>
  <c r="S29" i="2"/>
  <c r="S35" i="2"/>
  <c r="C30" i="2"/>
  <c r="C69" i="2"/>
  <c r="I29" i="2"/>
  <c r="I35" i="2"/>
  <c r="Q30" i="2"/>
  <c r="Q34" i="2"/>
  <c r="J29" i="2"/>
  <c r="J35" i="2"/>
  <c r="R29" i="2"/>
  <c r="R35" i="2"/>
  <c r="P30" i="2"/>
  <c r="P34" i="2"/>
  <c r="H30" i="2"/>
  <c r="H34" i="2"/>
  <c r="H69" i="2"/>
  <c r="T33" i="2"/>
  <c r="T27" i="2"/>
  <c r="F29" i="2"/>
  <c r="F35" i="2"/>
  <c r="C34" i="2"/>
  <c r="K66" i="2" l="1"/>
  <c r="J64" i="2"/>
  <c r="J65" i="2" s="1"/>
  <c r="G34" i="2"/>
  <c r="G69" i="2"/>
  <c r="G30" i="2"/>
  <c r="I64" i="2"/>
  <c r="I65" i="2" s="1"/>
  <c r="H64" i="2"/>
  <c r="H65" i="2" s="1"/>
  <c r="G64" i="2"/>
  <c r="G65" i="2" s="1"/>
  <c r="F64" i="2"/>
  <c r="F65" i="2" s="1"/>
  <c r="Y21" i="2"/>
  <c r="X24" i="2"/>
  <c r="I30" i="2"/>
  <c r="I69" i="2"/>
  <c r="I34" i="2"/>
  <c r="U33" i="2"/>
  <c r="J30" i="2"/>
  <c r="J34" i="2"/>
  <c r="J69" i="2"/>
  <c r="S30" i="2"/>
  <c r="S34" i="2"/>
  <c r="F34" i="2"/>
  <c r="F69" i="2"/>
  <c r="F30" i="2"/>
  <c r="R30" i="2"/>
  <c r="R34" i="2"/>
  <c r="T28" i="2"/>
  <c r="T35" i="2" s="1"/>
  <c r="V37" i="2"/>
  <c r="V25" i="2"/>
  <c r="V33" i="2" s="1"/>
  <c r="K65" i="2" l="1"/>
  <c r="F66" i="2"/>
  <c r="F67" i="2"/>
  <c r="H67" i="2"/>
  <c r="H66" i="2"/>
  <c r="G67" i="2"/>
  <c r="G66" i="2"/>
  <c r="I67" i="2"/>
  <c r="I66" i="2"/>
  <c r="J67" i="2"/>
  <c r="J66" i="2"/>
  <c r="Z21" i="2"/>
  <c r="Y24" i="2"/>
  <c r="W37" i="2"/>
  <c r="W25" i="2"/>
  <c r="W33" i="2" s="1"/>
  <c r="T29" i="2"/>
  <c r="T39" i="2" s="1"/>
  <c r="U26" i="2" s="1"/>
  <c r="AA21" i="2" l="1"/>
  <c r="Z24" i="2"/>
  <c r="X37" i="2"/>
  <c r="X25" i="2"/>
  <c r="X33" i="2" s="1"/>
  <c r="T30" i="2"/>
  <c r="T34" i="2"/>
  <c r="U27" i="2" l="1"/>
  <c r="U28" i="2" s="1"/>
  <c r="U35" i="2" s="1"/>
  <c r="AB21" i="2"/>
  <c r="AA24" i="2"/>
  <c r="Y37" i="2"/>
  <c r="Y25" i="2"/>
  <c r="Y33" i="2" s="1"/>
  <c r="AC21" i="2" l="1"/>
  <c r="AB24" i="2"/>
  <c r="U29" i="2"/>
  <c r="U39" i="2" s="1"/>
  <c r="Z25" i="2"/>
  <c r="Z33" i="2" s="1"/>
  <c r="Z37" i="2"/>
  <c r="AD21" i="2" l="1"/>
  <c r="AC24" i="2"/>
  <c r="AA37" i="2"/>
  <c r="AA25" i="2"/>
  <c r="AA33" i="2" s="1"/>
  <c r="V26" i="2"/>
  <c r="U30" i="2"/>
  <c r="U34" i="2"/>
  <c r="V27" i="2" l="1"/>
  <c r="V28" i="2" s="1"/>
  <c r="V35" i="2" s="1"/>
  <c r="AE21" i="2"/>
  <c r="AD24" i="2"/>
  <c r="AB37" i="2"/>
  <c r="AB25" i="2"/>
  <c r="AB33" i="2" s="1"/>
  <c r="V29" i="2" l="1"/>
  <c r="V39" i="2" s="1"/>
  <c r="W26" i="2" s="1"/>
  <c r="AF21" i="2"/>
  <c r="AE24" i="2"/>
  <c r="AC25" i="2"/>
  <c r="AC33" i="2" s="1"/>
  <c r="AC37" i="2"/>
  <c r="V30" i="2" l="1"/>
  <c r="V34" i="2"/>
  <c r="W27" i="2"/>
  <c r="W28" i="2" s="1"/>
  <c r="W35" i="2" s="1"/>
  <c r="AG21" i="2"/>
  <c r="AF24" i="2"/>
  <c r="AD25" i="2"/>
  <c r="AD33" i="2" s="1"/>
  <c r="AD37" i="2"/>
  <c r="AH21" i="2" l="1"/>
  <c r="AG24" i="2"/>
  <c r="W29" i="2"/>
  <c r="AE37" i="2"/>
  <c r="AE25" i="2"/>
  <c r="AE33" i="2" s="1"/>
  <c r="AI21" i="2" l="1"/>
  <c r="AH24" i="2"/>
  <c r="AF37" i="2"/>
  <c r="AF25" i="2"/>
  <c r="AF33" i="2" s="1"/>
  <c r="W39" i="2"/>
  <c r="X26" i="2" s="1"/>
  <c r="W34" i="2"/>
  <c r="W30" i="2"/>
  <c r="X27" i="2" l="1"/>
  <c r="X28" i="2" s="1"/>
  <c r="X35" i="2" s="1"/>
  <c r="AI24" i="2"/>
  <c r="AG37" i="2"/>
  <c r="AG25" i="2"/>
  <c r="AG33" i="2" s="1"/>
  <c r="AH25" i="2" l="1"/>
  <c r="AH33" i="2" s="1"/>
  <c r="AH37" i="2"/>
  <c r="X29" i="2"/>
  <c r="X39" i="2" l="1"/>
  <c r="Y26" i="2" s="1"/>
  <c r="X34" i="2"/>
  <c r="X30" i="2"/>
  <c r="AI37" i="2"/>
  <c r="AI25" i="2"/>
  <c r="AI33" i="2" s="1"/>
  <c r="Y27" i="2" l="1"/>
  <c r="Y28" i="2" s="1"/>
  <c r="Y35" i="2" s="1"/>
  <c r="Y29" i="2" l="1"/>
  <c r="Y30" i="2" s="1"/>
  <c r="Y34" i="2" l="1"/>
  <c r="Y39" i="2"/>
  <c r="Z26" i="2" s="1"/>
  <c r="Z27" i="2" l="1"/>
  <c r="Z28" i="2" l="1"/>
  <c r="Z35" i="2" s="1"/>
  <c r="Z29" i="2" l="1"/>
  <c r="Z39" i="2" l="1"/>
  <c r="AA26" i="2" s="1"/>
  <c r="Z30" i="2"/>
  <c r="Z34" i="2"/>
  <c r="AA27" i="2" l="1"/>
  <c r="AA28" i="2" l="1"/>
  <c r="AA35" i="2" s="1"/>
  <c r="AA29" i="2" l="1"/>
  <c r="AA30" i="2" s="1"/>
  <c r="AA34" i="2" l="1"/>
  <c r="AA39" i="2"/>
  <c r="AB26" i="2" s="1"/>
  <c r="AB27" i="2" s="1"/>
  <c r="AB28" i="2" l="1"/>
  <c r="AB35" i="2" s="1"/>
  <c r="AB29" i="2" l="1"/>
  <c r="AB39" i="2" s="1"/>
  <c r="AC26" i="2" s="1"/>
  <c r="AB34" i="2" l="1"/>
  <c r="AB30" i="2"/>
  <c r="AC27" i="2"/>
  <c r="AC28" i="2" l="1"/>
  <c r="AC35" i="2" s="1"/>
  <c r="AC29" i="2" l="1"/>
  <c r="AC39" i="2" s="1"/>
  <c r="AD26" i="2" s="1"/>
  <c r="AC34" i="2"/>
  <c r="AC30" i="2"/>
  <c r="AD27" i="2" l="1"/>
  <c r="AD28" i="2" l="1"/>
  <c r="AD35" i="2" s="1"/>
  <c r="AD29" i="2" l="1"/>
  <c r="AD30" i="2" l="1"/>
  <c r="AD34" i="2"/>
  <c r="AD39" i="2"/>
  <c r="AE26" i="2" s="1"/>
  <c r="AE27" i="2" l="1"/>
  <c r="AE28" i="2" l="1"/>
  <c r="AE35" i="2" s="1"/>
  <c r="AE29" i="2" l="1"/>
  <c r="AE30" i="2" s="1"/>
  <c r="AE34" i="2" l="1"/>
  <c r="AE39" i="2"/>
  <c r="AF26" i="2" s="1"/>
  <c r="AF27" i="2"/>
  <c r="AF28" i="2" l="1"/>
  <c r="AF35" i="2" s="1"/>
  <c r="AF29" i="2" l="1"/>
  <c r="AF39" i="2" s="1"/>
  <c r="AG26" i="2" s="1"/>
  <c r="AF34" i="2" l="1"/>
  <c r="AF30" i="2"/>
  <c r="AG27" i="2"/>
  <c r="AG28" i="2" l="1"/>
  <c r="AG35" i="2" s="1"/>
  <c r="AG29" i="2" l="1"/>
  <c r="AG39" i="2" l="1"/>
  <c r="AH26" i="2" s="1"/>
  <c r="AG34" i="2"/>
  <c r="AG30" i="2"/>
  <c r="AH27" i="2" l="1"/>
  <c r="AH28" i="2" l="1"/>
  <c r="AH35" i="2" s="1"/>
  <c r="AH29" i="2" l="1"/>
  <c r="AH39" i="2" s="1"/>
  <c r="AI26" i="2" s="1"/>
  <c r="AH30" i="2" l="1"/>
  <c r="AH34" i="2"/>
  <c r="AI27" i="2"/>
  <c r="AI28" i="2" l="1"/>
  <c r="AI35" i="2" s="1"/>
  <c r="AI29" i="2" l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AI39" i="2" l="1"/>
  <c r="AI30" i="2"/>
  <c r="AI34" i="2"/>
  <c r="AL42" i="2"/>
  <c r="AL44" i="2" s="1"/>
  <c r="AL46" i="2" s="1"/>
  <c r="AL47" i="2" s="1"/>
</calcChain>
</file>

<file path=xl/sharedStrings.xml><?xml version="1.0" encoding="utf-8"?>
<sst xmlns="http://schemas.openxmlformats.org/spreadsheetml/2006/main" count="118" uniqueCount="103">
  <si>
    <t>Price</t>
  </si>
  <si>
    <t>Shares</t>
  </si>
  <si>
    <t>MC</t>
  </si>
  <si>
    <t>Cash</t>
  </si>
  <si>
    <t>Debt</t>
  </si>
  <si>
    <t>EV</t>
  </si>
  <si>
    <t xml:space="preserve">(EVO) </t>
  </si>
  <si>
    <t>(in millions EUR)</t>
  </si>
  <si>
    <t>(EVO)</t>
  </si>
  <si>
    <t>Revenue</t>
  </si>
  <si>
    <t>Live</t>
  </si>
  <si>
    <t>RNG</t>
  </si>
  <si>
    <t>Personnel expenses</t>
  </si>
  <si>
    <t>D&amp;A</t>
  </si>
  <si>
    <t>Other</t>
  </si>
  <si>
    <t>Operating expenses</t>
  </si>
  <si>
    <t>Operating income</t>
  </si>
  <si>
    <t>Interest income(expense)</t>
  </si>
  <si>
    <t>Pretax income</t>
  </si>
  <si>
    <t>Taxes</t>
  </si>
  <si>
    <t>Net income</t>
  </si>
  <si>
    <t>Q122</t>
  </si>
  <si>
    <t>Q222</t>
  </si>
  <si>
    <t>Q322</t>
  </si>
  <si>
    <t>Q422</t>
  </si>
  <si>
    <t>Q123</t>
  </si>
  <si>
    <t>Q223</t>
  </si>
  <si>
    <t>Q323</t>
  </si>
  <si>
    <t>Q423</t>
  </si>
  <si>
    <t>EPS</t>
  </si>
  <si>
    <t>Net cash</t>
  </si>
  <si>
    <t>Goodwill</t>
  </si>
  <si>
    <t>Buildings</t>
  </si>
  <si>
    <t>Lease</t>
  </si>
  <si>
    <t>PP&amp;E</t>
  </si>
  <si>
    <t>Prepaid</t>
  </si>
  <si>
    <t>A/R</t>
  </si>
  <si>
    <t>DT</t>
  </si>
  <si>
    <t>Total assets</t>
  </si>
  <si>
    <t>A/P</t>
  </si>
  <si>
    <t>Accrued expense</t>
  </si>
  <si>
    <t>Total liabilities</t>
  </si>
  <si>
    <t>S/E</t>
  </si>
  <si>
    <t>L+S/E</t>
  </si>
  <si>
    <t>Provisions</t>
  </si>
  <si>
    <t>Model NI</t>
  </si>
  <si>
    <t>Reported IN</t>
  </si>
  <si>
    <t>Interest recieved</t>
  </si>
  <si>
    <t>Interest paid</t>
  </si>
  <si>
    <t>CFFO</t>
  </si>
  <si>
    <t>WC</t>
  </si>
  <si>
    <t>Acquisition</t>
  </si>
  <si>
    <t>Financial assets</t>
  </si>
  <si>
    <t>CFFI</t>
  </si>
  <si>
    <t>Buybacks</t>
  </si>
  <si>
    <t>Warrants</t>
  </si>
  <si>
    <t>Share issue</t>
  </si>
  <si>
    <t>Dividend</t>
  </si>
  <si>
    <t>CFFF</t>
  </si>
  <si>
    <t>FX</t>
  </si>
  <si>
    <t>CIC</t>
  </si>
  <si>
    <t>CapEx</t>
  </si>
  <si>
    <t>CFFO+CapEx</t>
  </si>
  <si>
    <t>CFFO+CapEx+Buybacks</t>
  </si>
  <si>
    <t>CFFO+CapEx+Buybacks+Dividends</t>
  </si>
  <si>
    <t>Evolution AB</t>
  </si>
  <si>
    <t>Operating margin</t>
  </si>
  <si>
    <t>Net margin</t>
  </si>
  <si>
    <t>Taxe rate</t>
  </si>
  <si>
    <t xml:space="preserve">Revenue y/y </t>
  </si>
  <si>
    <t>Europe</t>
  </si>
  <si>
    <t>Asia</t>
  </si>
  <si>
    <t>LatAm</t>
  </si>
  <si>
    <t>North America</t>
  </si>
  <si>
    <t>Europe q/q</t>
  </si>
  <si>
    <t>Asia q/q</t>
  </si>
  <si>
    <t>North America q/q</t>
  </si>
  <si>
    <t>LatAm q/q</t>
  </si>
  <si>
    <t xml:space="preserve">CEO Martin Carlesund </t>
  </si>
  <si>
    <t>CFO Jacob Kaplan</t>
  </si>
  <si>
    <t>.-944</t>
  </si>
  <si>
    <t>.-241</t>
  </si>
  <si>
    <t>ROIC</t>
  </si>
  <si>
    <t>Discount rate</t>
  </si>
  <si>
    <t>Maturity rate</t>
  </si>
  <si>
    <t>NPV</t>
  </si>
  <si>
    <t>Total value</t>
  </si>
  <si>
    <t>Current price</t>
  </si>
  <si>
    <t>Share price</t>
  </si>
  <si>
    <t>Q124</t>
  </si>
  <si>
    <t>Q224</t>
  </si>
  <si>
    <t>Q324</t>
  </si>
  <si>
    <t>Q424</t>
  </si>
  <si>
    <t>ONCA</t>
  </si>
  <si>
    <t>OCA</t>
  </si>
  <si>
    <t>TTM cash flow</t>
  </si>
  <si>
    <t>ROA</t>
  </si>
  <si>
    <t>ROE</t>
  </si>
  <si>
    <t>OCL</t>
  </si>
  <si>
    <t>ONCL</t>
  </si>
  <si>
    <t>Lease nc</t>
  </si>
  <si>
    <t>Lease c</t>
  </si>
  <si>
    <t>Employees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</si>
</sst>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#,##0_ ;[Red]\-#,##0\ "/>
    <numFmt numFmtId="166" formatCode="#,##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9" fontId="0" fillId="0" borderId="0" xfId="1" applyFont="1"/>
    <xf numFmtId="165" fontId="0" fillId="0" borderId="0" xfId="0" applyNumberFormat="1"/>
    <xf numFmtId="3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</xdr:row>
      <xdr:rowOff>57150</xdr:rowOff>
    </xdr:from>
    <xdr:to>
      <xdr:col>19</xdr:col>
      <xdr:colOff>19050</xdr:colOff>
      <xdr:row>98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F06FF0F-F489-570E-1BCA-EA6C25D749F9}"/>
            </a:ext>
          </a:extLst>
        </xdr:cNvPr>
        <xdr:cNvCxnSpPr/>
      </xdr:nvCxnSpPr>
      <xdr:spPr>
        <a:xfrm>
          <a:off x="10334625" y="219075"/>
          <a:ext cx="0" cy="14658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0</xdr:row>
      <xdr:rowOff>19050</xdr:rowOff>
    </xdr:from>
    <xdr:to>
      <xdr:col>11</xdr:col>
      <xdr:colOff>666750</xdr:colOff>
      <xdr:row>100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A3C70B-298A-4C84-B896-335FB39A36B0}"/>
            </a:ext>
          </a:extLst>
        </xdr:cNvPr>
        <xdr:cNvCxnSpPr/>
      </xdr:nvCxnSpPr>
      <xdr:spPr>
        <a:xfrm>
          <a:off x="8601075" y="19050"/>
          <a:ext cx="0" cy="1653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9274-FA3D-4C4E-8797-B4C94ED7A0DA}">
  <dimension ref="B2:L13"/>
  <sheetViews>
    <sheetView topLeftCell="B1" workbookViewId="0">
      <selection activeCell="L4" sqref="L4"/>
    </sheetView>
  </sheetViews>
  <sheetFormatPr defaultRowHeight="12.75" x14ac:dyDescent="0.2"/>
  <cols>
    <col min="1" max="1" width="3.5703125" customWidth="1"/>
    <col min="2" max="2" width="32.85546875" bestFit="1" customWidth="1"/>
    <col min="13" max="13" width="10.140625" bestFit="1" customWidth="1"/>
  </cols>
  <sheetData>
    <row r="2" spans="2:12" ht="34.5" x14ac:dyDescent="0.45">
      <c r="B2" s="1" t="s">
        <v>65</v>
      </c>
    </row>
    <row r="3" spans="2:12" x14ac:dyDescent="0.2">
      <c r="B3" t="s">
        <v>6</v>
      </c>
      <c r="K3" t="s">
        <v>0</v>
      </c>
      <c r="L3">
        <v>103</v>
      </c>
    </row>
    <row r="4" spans="2:12" x14ac:dyDescent="0.2">
      <c r="B4" t="s">
        <v>7</v>
      </c>
      <c r="K4" t="s">
        <v>1</v>
      </c>
      <c r="L4" s="2">
        <v>215.310981</v>
      </c>
    </row>
    <row r="5" spans="2:12" x14ac:dyDescent="0.2">
      <c r="K5" t="s">
        <v>2</v>
      </c>
      <c r="L5" s="2">
        <f>+L4*L3</f>
        <v>22177.031042999999</v>
      </c>
    </row>
    <row r="6" spans="2:12" x14ac:dyDescent="0.2">
      <c r="K6" t="s">
        <v>3</v>
      </c>
      <c r="L6" s="2">
        <v>985.75599999999997</v>
      </c>
    </row>
    <row r="7" spans="2:12" x14ac:dyDescent="0.2">
      <c r="K7" t="s">
        <v>4</v>
      </c>
      <c r="L7" s="2">
        <v>0</v>
      </c>
    </row>
    <row r="8" spans="2:12" x14ac:dyDescent="0.2">
      <c r="K8" t="s">
        <v>5</v>
      </c>
      <c r="L8" s="2">
        <f>+L5-L6</f>
        <v>21191.275042999998</v>
      </c>
    </row>
    <row r="9" spans="2:12" x14ac:dyDescent="0.2">
      <c r="I9" s="2"/>
      <c r="L9" s="2">
        <f>283*4</f>
        <v>1132</v>
      </c>
    </row>
    <row r="10" spans="2:12" x14ac:dyDescent="0.2">
      <c r="I10" s="2"/>
      <c r="L10" s="8">
        <f>+L8/L9</f>
        <v>18.72020763515901</v>
      </c>
    </row>
    <row r="12" spans="2:12" x14ac:dyDescent="0.2">
      <c r="K12" t="s">
        <v>78</v>
      </c>
    </row>
    <row r="13" spans="2:12" x14ac:dyDescent="0.2">
      <c r="K1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0E15-95C3-4723-9222-03D0E404E64F}">
  <dimension ref="B2:EE99"/>
  <sheetViews>
    <sheetView tabSelected="1" workbookViewId="0">
      <pane xSplit="2" ySplit="4" topLeftCell="M14" activePane="bottomRight" state="frozen"/>
      <selection pane="topRight" activeCell="C1" sqref="C1"/>
      <selection pane="bottomLeft" activeCell="A5" sqref="A5"/>
      <selection pane="bottomRight" activeCell="W17" sqref="W17"/>
    </sheetView>
  </sheetViews>
  <sheetFormatPr defaultRowHeight="12.75" x14ac:dyDescent="0.2"/>
  <cols>
    <col min="1" max="1" width="3" customWidth="1"/>
    <col min="2" max="2" width="32.85546875" bestFit="1" customWidth="1"/>
    <col min="3" max="10" width="9.140625" style="3"/>
    <col min="11" max="11" width="10" style="3" customWidth="1"/>
    <col min="12" max="12" width="10.140625" style="3" bestFit="1" customWidth="1"/>
    <col min="13" max="14" width="9.140625" style="3"/>
    <col min="16" max="19" width="9.140625" style="2"/>
    <col min="20" max="20" width="9.5703125" style="2" bestFit="1" customWidth="1"/>
    <col min="21" max="35" width="9.140625" style="2"/>
    <col min="37" max="37" width="12" bestFit="1" customWidth="1"/>
    <col min="38" max="38" width="9.7109375" customWidth="1"/>
  </cols>
  <sheetData>
    <row r="2" spans="2:35" ht="34.5" x14ac:dyDescent="0.45">
      <c r="B2" s="1" t="s">
        <v>65</v>
      </c>
    </row>
    <row r="3" spans="2:35" x14ac:dyDescent="0.2">
      <c r="B3" t="s">
        <v>8</v>
      </c>
    </row>
    <row r="4" spans="2:35" x14ac:dyDescent="0.2">
      <c r="B4" t="s">
        <v>7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89</v>
      </c>
      <c r="L4" s="3" t="s">
        <v>90</v>
      </c>
      <c r="M4" s="3" t="s">
        <v>91</v>
      </c>
      <c r="N4" s="3" t="s">
        <v>92</v>
      </c>
      <c r="P4">
        <v>2020</v>
      </c>
      <c r="Q4">
        <v>2021</v>
      </c>
      <c r="R4">
        <v>2022</v>
      </c>
      <c r="S4">
        <v>2023</v>
      </c>
      <c r="T4">
        <v>2024</v>
      </c>
      <c r="U4">
        <f>+T4+1</f>
        <v>2025</v>
      </c>
      <c r="V4">
        <f t="shared" ref="V4:AI4" si="0">+U4+1</f>
        <v>2026</v>
      </c>
      <c r="W4">
        <f t="shared" si="0"/>
        <v>2027</v>
      </c>
      <c r="X4">
        <f t="shared" si="0"/>
        <v>2028</v>
      </c>
      <c r="Y4">
        <f t="shared" si="0"/>
        <v>2029</v>
      </c>
      <c r="Z4">
        <f t="shared" si="0"/>
        <v>2030</v>
      </c>
      <c r="AA4">
        <f t="shared" si="0"/>
        <v>2031</v>
      </c>
      <c r="AB4">
        <f t="shared" si="0"/>
        <v>2032</v>
      </c>
      <c r="AC4">
        <f t="shared" si="0"/>
        <v>2033</v>
      </c>
      <c r="AD4">
        <f t="shared" si="0"/>
        <v>2034</v>
      </c>
      <c r="AE4">
        <f t="shared" si="0"/>
        <v>2035</v>
      </c>
      <c r="AF4">
        <f t="shared" si="0"/>
        <v>2036</v>
      </c>
      <c r="AG4">
        <f t="shared" si="0"/>
        <v>2037</v>
      </c>
      <c r="AH4">
        <f t="shared" si="0"/>
        <v>2038</v>
      </c>
      <c r="AI4">
        <f t="shared" si="0"/>
        <v>2039</v>
      </c>
    </row>
    <row r="6" spans="2:35" x14ac:dyDescent="0.2">
      <c r="B6" t="s">
        <v>70</v>
      </c>
      <c r="C6" s="3">
        <v>152.4</v>
      </c>
      <c r="D6" s="3">
        <v>151.9</v>
      </c>
      <c r="E6" s="3">
        <v>159.19999999999999</v>
      </c>
      <c r="F6" s="3">
        <v>170</v>
      </c>
      <c r="G6" s="3">
        <v>173.7</v>
      </c>
      <c r="H6" s="3">
        <v>175.2</v>
      </c>
      <c r="I6" s="3">
        <v>175.1</v>
      </c>
      <c r="J6" s="3">
        <v>185.8</v>
      </c>
      <c r="K6" s="3">
        <v>191</v>
      </c>
      <c r="L6" s="3">
        <v>191.3</v>
      </c>
    </row>
    <row r="7" spans="2:35" x14ac:dyDescent="0.2">
      <c r="B7" t="s">
        <v>71</v>
      </c>
      <c r="C7" s="3">
        <v>103.4</v>
      </c>
      <c r="D7" s="3">
        <v>110.9</v>
      </c>
      <c r="E7" s="3">
        <v>127.8</v>
      </c>
      <c r="F7" s="3">
        <v>136.19999999999999</v>
      </c>
      <c r="G7" s="3">
        <v>154</v>
      </c>
      <c r="H7" s="3">
        <v>164.5</v>
      </c>
      <c r="I7" s="3">
        <v>172.1</v>
      </c>
      <c r="J7" s="3">
        <v>181.7</v>
      </c>
      <c r="K7" s="3">
        <v>197.6</v>
      </c>
      <c r="L7" s="3">
        <v>200.7</v>
      </c>
    </row>
    <row r="8" spans="2:35" x14ac:dyDescent="0.2">
      <c r="B8" t="s">
        <v>73</v>
      </c>
      <c r="C8" s="3">
        <v>36.799999999999997</v>
      </c>
      <c r="D8" s="3">
        <v>46.1</v>
      </c>
      <c r="E8" s="3">
        <v>50.2</v>
      </c>
      <c r="F8" s="3">
        <v>56.2</v>
      </c>
      <c r="G8" s="3">
        <v>57.3</v>
      </c>
      <c r="H8" s="3">
        <v>55.5</v>
      </c>
      <c r="I8" s="3">
        <v>54.7</v>
      </c>
      <c r="J8" s="3">
        <v>59.1</v>
      </c>
      <c r="K8" s="3">
        <v>62.1</v>
      </c>
      <c r="L8" s="3">
        <v>60.2</v>
      </c>
    </row>
    <row r="9" spans="2:35" x14ac:dyDescent="0.2">
      <c r="B9" t="s">
        <v>72</v>
      </c>
      <c r="C9" s="3">
        <v>17.2</v>
      </c>
      <c r="D9" s="3">
        <v>19.399999999999999</v>
      </c>
      <c r="E9" s="3">
        <v>24.8</v>
      </c>
      <c r="F9" s="3">
        <v>26.9</v>
      </c>
      <c r="G9" s="3">
        <v>30</v>
      </c>
      <c r="H9" s="3">
        <v>31.3</v>
      </c>
      <c r="I9" s="3">
        <v>34.4</v>
      </c>
      <c r="J9" s="3">
        <v>32.1</v>
      </c>
      <c r="K9" s="3">
        <v>33</v>
      </c>
      <c r="L9" s="3">
        <v>36.6</v>
      </c>
    </row>
    <row r="10" spans="2:35" x14ac:dyDescent="0.2">
      <c r="B10" t="s">
        <v>14</v>
      </c>
      <c r="C10" s="3">
        <v>17.100000000000001</v>
      </c>
      <c r="D10" s="3">
        <v>15.7</v>
      </c>
      <c r="E10" s="3">
        <v>16.5</v>
      </c>
      <c r="F10" s="3">
        <v>18.2</v>
      </c>
      <c r="G10" s="3">
        <v>14.6</v>
      </c>
      <c r="H10" s="3">
        <v>14.6</v>
      </c>
      <c r="I10" s="3">
        <v>16.3</v>
      </c>
      <c r="J10" s="3">
        <v>16.600000000000001</v>
      </c>
      <c r="K10" s="3">
        <v>17.8</v>
      </c>
      <c r="L10" s="3">
        <v>19.600000000000001</v>
      </c>
    </row>
    <row r="12" spans="2:35" s="9" customFormat="1" x14ac:dyDescent="0.2">
      <c r="B12" s="9" t="s">
        <v>74</v>
      </c>
      <c r="C12" s="10"/>
      <c r="D12" s="10">
        <f t="shared" ref="D12:F12" si="1">+D6/C6-1</f>
        <v>-3.2808398950131545E-3</v>
      </c>
      <c r="E12" s="10">
        <f t="shared" si="1"/>
        <v>4.8057932850559482E-2</v>
      </c>
      <c r="F12" s="10">
        <f t="shared" si="1"/>
        <v>6.7839195979899625E-2</v>
      </c>
      <c r="G12" s="10">
        <f t="shared" ref="G12:I12" si="2">+G6/F6-1</f>
        <v>2.1764705882352908E-2</v>
      </c>
      <c r="H12" s="10">
        <f t="shared" si="2"/>
        <v>8.6355785837650689E-3</v>
      </c>
      <c r="I12" s="10">
        <f t="shared" si="2"/>
        <v>-5.7077625570778334E-4</v>
      </c>
      <c r="J12" s="10">
        <f t="shared" ref="J12:L14" si="3">+J6/I6-1</f>
        <v>6.1107938320959621E-2</v>
      </c>
      <c r="K12" s="10">
        <f>+K6/J6-1</f>
        <v>2.7987082884822323E-2</v>
      </c>
      <c r="L12" s="10">
        <f>+L6/K6-1</f>
        <v>1.5706806282722585E-3</v>
      </c>
      <c r="M12" s="10"/>
      <c r="N12" s="10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 s="9" customFormat="1" x14ac:dyDescent="0.2">
      <c r="B13" s="9" t="s">
        <v>75</v>
      </c>
      <c r="C13" s="10"/>
      <c r="D13" s="10">
        <f t="shared" ref="D13:F13" si="4">+D7/C7-1</f>
        <v>7.2533849129593708E-2</v>
      </c>
      <c r="E13" s="10">
        <f t="shared" si="4"/>
        <v>0.15238954012623984</v>
      </c>
      <c r="F13" s="10">
        <f t="shared" si="4"/>
        <v>6.572769953051627E-2</v>
      </c>
      <c r="G13" s="10">
        <f t="shared" ref="G13:I13" si="5">+G7/F7-1</f>
        <v>0.13069016152716606</v>
      </c>
      <c r="H13" s="10">
        <f t="shared" si="5"/>
        <v>6.8181818181818121E-2</v>
      </c>
      <c r="I13" s="10">
        <f t="shared" si="5"/>
        <v>4.6200607902735502E-2</v>
      </c>
      <c r="J13" s="10">
        <f t="shared" si="3"/>
        <v>5.5781522370714764E-2</v>
      </c>
      <c r="K13" s="10">
        <f t="shared" si="3"/>
        <v>8.7506879471656696E-2</v>
      </c>
      <c r="L13" s="10">
        <f t="shared" si="3"/>
        <v>1.5688259109311709E-2</v>
      </c>
      <c r="M13" s="10"/>
      <c r="N13" s="10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2:35" s="9" customFormat="1" x14ac:dyDescent="0.2">
      <c r="B14" s="9" t="s">
        <v>76</v>
      </c>
      <c r="C14" s="10"/>
      <c r="D14" s="10">
        <f t="shared" ref="D14:F14" si="6">+D8/C8-1</f>
        <v>0.25271739130434789</v>
      </c>
      <c r="E14" s="10">
        <f t="shared" si="6"/>
        <v>8.8937093275488044E-2</v>
      </c>
      <c r="F14" s="10">
        <f t="shared" si="6"/>
        <v>0.1195219123505975</v>
      </c>
      <c r="G14" s="10">
        <f t="shared" ref="G14:I14" si="7">+G8/F8-1</f>
        <v>1.9572953736654686E-2</v>
      </c>
      <c r="H14" s="10">
        <f t="shared" si="7"/>
        <v>-3.1413612565444948E-2</v>
      </c>
      <c r="I14" s="10">
        <f t="shared" si="7"/>
        <v>-1.4414414414414378E-2</v>
      </c>
      <c r="J14" s="10">
        <f t="shared" si="3"/>
        <v>8.0438756855575777E-2</v>
      </c>
      <c r="K14" s="10">
        <f t="shared" si="3"/>
        <v>5.0761421319796884E-2</v>
      </c>
      <c r="L14" s="10">
        <f t="shared" si="3"/>
        <v>-3.0595813204508882E-2</v>
      </c>
      <c r="M14" s="10"/>
      <c r="N14" s="10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2:35" s="9" customFormat="1" x14ac:dyDescent="0.2">
      <c r="B15" s="9" t="s">
        <v>77</v>
      </c>
      <c r="C15" s="10"/>
      <c r="D15" s="10">
        <f t="shared" ref="D15:F15" si="8">+D10/C10-1</f>
        <v>-8.1871345029239873E-2</v>
      </c>
      <c r="E15" s="10">
        <f t="shared" si="8"/>
        <v>5.0955414012738842E-2</v>
      </c>
      <c r="F15" s="10">
        <f t="shared" si="8"/>
        <v>0.10303030303030303</v>
      </c>
      <c r="G15" s="10">
        <f t="shared" ref="G15:I15" si="9">+G10/F10-1</f>
        <v>-0.19780219780219777</v>
      </c>
      <c r="H15" s="10">
        <f t="shared" si="9"/>
        <v>0</v>
      </c>
      <c r="I15" s="10">
        <f t="shared" si="9"/>
        <v>0.11643835616438358</v>
      </c>
      <c r="J15" s="10">
        <f>+J10/I10-1</f>
        <v>1.8404907975460238E-2</v>
      </c>
      <c r="K15" s="10">
        <f>+K10/J10-1</f>
        <v>7.2289156626506035E-2</v>
      </c>
      <c r="L15" s="10">
        <f>+L10/K10-1</f>
        <v>0.101123595505618</v>
      </c>
      <c r="M15" s="10"/>
      <c r="N15" s="10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 x14ac:dyDescent="0.2">
      <c r="B16" t="s">
        <v>14</v>
      </c>
    </row>
    <row r="18" spans="2:135" x14ac:dyDescent="0.2">
      <c r="B18" t="s">
        <v>10</v>
      </c>
      <c r="C18" s="3">
        <v>264.50200000000001</v>
      </c>
      <c r="D18" s="3">
        <v>278.46699999999998</v>
      </c>
      <c r="E18" s="3">
        <v>310.392</v>
      </c>
      <c r="F18" s="3">
        <v>334.947</v>
      </c>
      <c r="G18" s="3">
        <v>360.1</v>
      </c>
      <c r="H18" s="3">
        <v>371.8</v>
      </c>
      <c r="I18" s="3">
        <v>385.8</v>
      </c>
      <c r="J18" s="3">
        <v>405.55700000000002</v>
      </c>
      <c r="K18" s="3">
        <v>431.33800000000002</v>
      </c>
      <c r="L18" s="3">
        <v>438.07100000000003</v>
      </c>
      <c r="P18" s="2">
        <v>543.31500000000005</v>
      </c>
      <c r="Q18" s="2">
        <v>839.23800000000006</v>
      </c>
      <c r="R18" s="2">
        <v>1188.308</v>
      </c>
      <c r="S18" s="2">
        <v>1523.2739999999999</v>
      </c>
    </row>
    <row r="19" spans="2:135" x14ac:dyDescent="0.2">
      <c r="B19" t="s">
        <v>11</v>
      </c>
      <c r="C19" s="3">
        <v>62.265000000000001</v>
      </c>
      <c r="D19" s="3">
        <v>65.491</v>
      </c>
      <c r="E19" s="3">
        <v>68.14</v>
      </c>
      <c r="F19" s="3">
        <v>72.533000000000001</v>
      </c>
      <c r="G19" s="3">
        <v>69.5</v>
      </c>
      <c r="H19" s="3">
        <v>69.3</v>
      </c>
      <c r="I19" s="3">
        <v>66.8</v>
      </c>
      <c r="J19" s="3">
        <v>69.753</v>
      </c>
      <c r="K19" s="3">
        <v>70.113</v>
      </c>
      <c r="L19" s="3">
        <v>70.338999999999999</v>
      </c>
      <c r="P19" s="2">
        <v>17.818999999999999</v>
      </c>
      <c r="Q19" s="2">
        <v>229.53899999999999</v>
      </c>
      <c r="R19" s="2">
        <v>268.42899999999997</v>
      </c>
      <c r="S19" s="2">
        <v>275.327</v>
      </c>
    </row>
    <row r="20" spans="2:135" s="5" customFormat="1" x14ac:dyDescent="0.2">
      <c r="B20" s="5" t="s">
        <v>9</v>
      </c>
      <c r="C20" s="6">
        <f t="shared" ref="C20:L20" si="10">+C18+C19</f>
        <v>326.767</v>
      </c>
      <c r="D20" s="6">
        <f t="shared" si="10"/>
        <v>343.95799999999997</v>
      </c>
      <c r="E20" s="6">
        <f t="shared" si="10"/>
        <v>378.53199999999998</v>
      </c>
      <c r="F20" s="6">
        <f t="shared" si="10"/>
        <v>407.48</v>
      </c>
      <c r="G20" s="6">
        <f t="shared" si="10"/>
        <v>429.6</v>
      </c>
      <c r="H20" s="6">
        <f t="shared" si="10"/>
        <v>441.1</v>
      </c>
      <c r="I20" s="6">
        <f t="shared" si="10"/>
        <v>452.6</v>
      </c>
      <c r="J20" s="6">
        <f t="shared" si="10"/>
        <v>475.31</v>
      </c>
      <c r="K20" s="6">
        <f t="shared" si="10"/>
        <v>501.45100000000002</v>
      </c>
      <c r="L20" s="6">
        <f t="shared" si="10"/>
        <v>508.41</v>
      </c>
      <c r="M20" s="6"/>
      <c r="N20" s="6"/>
      <c r="P20" s="6">
        <f>+P18+P19</f>
        <v>561.13400000000001</v>
      </c>
      <c r="Q20" s="6">
        <f>+Q18+Q19</f>
        <v>1068.777</v>
      </c>
      <c r="R20" s="6">
        <f>+R18+R19</f>
        <v>1456.7370000000001</v>
      </c>
      <c r="S20" s="6">
        <f>+S18+S19</f>
        <v>1798.6009999999999</v>
      </c>
      <c r="T20" s="7">
        <f>+S20*1.15</f>
        <v>2068.3911499999999</v>
      </c>
      <c r="U20" s="7">
        <f t="shared" ref="U20:AI20" si="11">+T20*1.15</f>
        <v>2378.6498224999996</v>
      </c>
      <c r="V20" s="7">
        <f t="shared" si="11"/>
        <v>2735.4472958749993</v>
      </c>
      <c r="W20" s="7">
        <f t="shared" si="11"/>
        <v>3145.764390256249</v>
      </c>
      <c r="X20" s="7">
        <f t="shared" si="11"/>
        <v>3617.6290487946862</v>
      </c>
      <c r="Y20" s="7">
        <f t="shared" si="11"/>
        <v>4160.273406113889</v>
      </c>
      <c r="Z20" s="7">
        <f t="shared" si="11"/>
        <v>4784.3144170309715</v>
      </c>
      <c r="AA20" s="7">
        <f t="shared" si="11"/>
        <v>5501.9615795856171</v>
      </c>
      <c r="AB20" s="7">
        <f t="shared" si="11"/>
        <v>6327.2558165234595</v>
      </c>
      <c r="AC20" s="7">
        <f t="shared" si="11"/>
        <v>7276.3441890019776</v>
      </c>
      <c r="AD20" s="7">
        <f t="shared" si="11"/>
        <v>8367.7958173522729</v>
      </c>
      <c r="AE20" s="7">
        <f t="shared" si="11"/>
        <v>9622.9651899551136</v>
      </c>
      <c r="AF20" s="7">
        <f t="shared" si="11"/>
        <v>11066.409968448379</v>
      </c>
      <c r="AG20" s="7">
        <f t="shared" si="11"/>
        <v>12726.371463715635</v>
      </c>
      <c r="AH20" s="7">
        <f t="shared" si="11"/>
        <v>14635.327183272979</v>
      </c>
      <c r="AI20" s="7">
        <f t="shared" si="11"/>
        <v>16830.626260763926</v>
      </c>
    </row>
    <row r="21" spans="2:135" x14ac:dyDescent="0.2">
      <c r="B21" t="s">
        <v>12</v>
      </c>
      <c r="C21" s="3">
        <v>63.468000000000004</v>
      </c>
      <c r="D21" s="3">
        <v>68.337000000000003</v>
      </c>
      <c r="E21" s="3">
        <v>76.254999999999995</v>
      </c>
      <c r="F21" s="3">
        <v>81.537999999999997</v>
      </c>
      <c r="G21" s="3">
        <v>82.933000000000007</v>
      </c>
      <c r="H21" s="3">
        <v>87.47</v>
      </c>
      <c r="I21" s="3">
        <v>91.037000000000006</v>
      </c>
      <c r="J21" s="3">
        <v>93.86</v>
      </c>
      <c r="K21" s="3">
        <v>106.771</v>
      </c>
      <c r="L21" s="3">
        <v>111.425</v>
      </c>
      <c r="P21" s="3">
        <v>133.75200000000001</v>
      </c>
      <c r="Q21" s="3">
        <v>207.16499999999999</v>
      </c>
      <c r="R21" s="3">
        <v>289.59800000000001</v>
      </c>
      <c r="S21" s="3">
        <v>355.3</v>
      </c>
      <c r="T21" s="2">
        <f>+S21*1.1</f>
        <v>390.83000000000004</v>
      </c>
      <c r="U21" s="2">
        <f t="shared" ref="U21:AI21" si="12">+T21*1.1</f>
        <v>429.91300000000007</v>
      </c>
      <c r="V21" s="2">
        <f t="shared" si="12"/>
        <v>472.90430000000009</v>
      </c>
      <c r="W21" s="2">
        <f t="shared" si="12"/>
        <v>520.19473000000016</v>
      </c>
      <c r="X21" s="2">
        <f t="shared" si="12"/>
        <v>572.21420300000023</v>
      </c>
      <c r="Y21" s="2">
        <f t="shared" si="12"/>
        <v>629.43562330000032</v>
      </c>
      <c r="Z21" s="2">
        <f t="shared" si="12"/>
        <v>692.37918563000039</v>
      </c>
      <c r="AA21" s="2">
        <f t="shared" si="12"/>
        <v>761.6171041930005</v>
      </c>
      <c r="AB21" s="2">
        <f t="shared" si="12"/>
        <v>837.77881461230061</v>
      </c>
      <c r="AC21" s="2">
        <f t="shared" si="12"/>
        <v>921.5566960735307</v>
      </c>
      <c r="AD21" s="2">
        <f t="shared" si="12"/>
        <v>1013.7123656808839</v>
      </c>
      <c r="AE21" s="2">
        <f t="shared" si="12"/>
        <v>1115.0836022489723</v>
      </c>
      <c r="AF21" s="2">
        <f t="shared" si="12"/>
        <v>1226.5919624738697</v>
      </c>
      <c r="AG21" s="2">
        <f t="shared" si="12"/>
        <v>1349.2511587212568</v>
      </c>
      <c r="AH21" s="2">
        <f t="shared" si="12"/>
        <v>1484.1762745933827</v>
      </c>
      <c r="AI21" s="2">
        <f t="shared" si="12"/>
        <v>1632.593902052721</v>
      </c>
    </row>
    <row r="22" spans="2:135" x14ac:dyDescent="0.2">
      <c r="B22" t="s">
        <v>13</v>
      </c>
      <c r="C22" s="3">
        <v>22.593</v>
      </c>
      <c r="D22" s="3">
        <v>23.638000000000002</v>
      </c>
      <c r="E22" s="3">
        <v>24.622</v>
      </c>
      <c r="F22" s="3">
        <v>29.524999999999999</v>
      </c>
      <c r="G22" s="3">
        <v>28.678000000000001</v>
      </c>
      <c r="H22" s="3">
        <v>30.178000000000001</v>
      </c>
      <c r="I22" s="3">
        <v>31.462</v>
      </c>
      <c r="J22" s="3">
        <v>34.365000000000002</v>
      </c>
      <c r="K22" s="3">
        <v>34.174999999999997</v>
      </c>
      <c r="L22" s="3">
        <v>34.637999999999998</v>
      </c>
      <c r="P22" s="3">
        <v>32.512999999999998</v>
      </c>
      <c r="Q22" s="3">
        <v>80.646000000000001</v>
      </c>
      <c r="R22" s="3">
        <v>100.378</v>
      </c>
      <c r="S22" s="3">
        <v>124.68300000000001</v>
      </c>
      <c r="T22" s="2">
        <f>+S22*1.2</f>
        <v>149.61959999999999</v>
      </c>
      <c r="U22" s="2">
        <f t="shared" ref="U22:AI22" si="13">+T22*1.2</f>
        <v>179.54351999999997</v>
      </c>
      <c r="V22" s="2">
        <f t="shared" si="13"/>
        <v>215.45222399999997</v>
      </c>
      <c r="W22" s="2">
        <f t="shared" si="13"/>
        <v>258.54266879999994</v>
      </c>
      <c r="X22" s="2">
        <f t="shared" si="13"/>
        <v>310.25120255999991</v>
      </c>
      <c r="Y22" s="2">
        <f t="shared" si="13"/>
        <v>372.30144307199987</v>
      </c>
      <c r="Z22" s="2">
        <f t="shared" si="13"/>
        <v>446.76173168639986</v>
      </c>
      <c r="AA22" s="2">
        <f t="shared" si="13"/>
        <v>536.11407802367978</v>
      </c>
      <c r="AB22" s="2">
        <f t="shared" si="13"/>
        <v>643.33689362841574</v>
      </c>
      <c r="AC22" s="2">
        <f t="shared" si="13"/>
        <v>772.00427235409882</v>
      </c>
      <c r="AD22" s="2">
        <f t="shared" si="13"/>
        <v>926.40512682491851</v>
      </c>
      <c r="AE22" s="2">
        <f t="shared" si="13"/>
        <v>1111.6861521899023</v>
      </c>
      <c r="AF22" s="2">
        <f t="shared" si="13"/>
        <v>1334.0233826278827</v>
      </c>
      <c r="AG22" s="2">
        <f t="shared" si="13"/>
        <v>1600.8280591534592</v>
      </c>
      <c r="AH22" s="2">
        <f t="shared" si="13"/>
        <v>1920.9936709841509</v>
      </c>
      <c r="AI22" s="2">
        <f t="shared" si="13"/>
        <v>2305.192405180981</v>
      </c>
    </row>
    <row r="23" spans="2:135" x14ac:dyDescent="0.2">
      <c r="B23" t="s">
        <v>14</v>
      </c>
      <c r="C23" s="3">
        <v>33.621000000000002</v>
      </c>
      <c r="D23" s="3">
        <v>37.402999999999999</v>
      </c>
      <c r="E23" s="3">
        <v>41.262</v>
      </c>
      <c r="F23" s="3">
        <v>46.412999999999997</v>
      </c>
      <c r="G23" s="3">
        <v>46.482999999999997</v>
      </c>
      <c r="H23" s="3">
        <v>41.911999999999999</v>
      </c>
      <c r="I23" s="3">
        <v>43.006</v>
      </c>
      <c r="J23" s="3">
        <v>44.487000000000002</v>
      </c>
      <c r="K23" s="3">
        <v>48.893999999999998</v>
      </c>
      <c r="L23" s="3">
        <v>51.218000000000004</v>
      </c>
      <c r="P23" s="3">
        <v>95.168999999999997</v>
      </c>
      <c r="Q23" s="3">
        <v>126.962</v>
      </c>
      <c r="R23" s="3">
        <v>158.69900000000001</v>
      </c>
      <c r="S23" s="3">
        <v>175.88800000000001</v>
      </c>
      <c r="T23" s="2">
        <f>+S23*1.25</f>
        <v>219.86</v>
      </c>
      <c r="U23" s="2">
        <f t="shared" ref="U23:AI23" si="14">+T23*1.25</f>
        <v>274.82500000000005</v>
      </c>
      <c r="V23" s="2">
        <f t="shared" si="14"/>
        <v>343.53125000000006</v>
      </c>
      <c r="W23" s="2">
        <f t="shared" si="14"/>
        <v>429.41406250000006</v>
      </c>
      <c r="X23" s="2">
        <f t="shared" si="14"/>
        <v>536.76757812500011</v>
      </c>
      <c r="Y23" s="2">
        <f t="shared" si="14"/>
        <v>670.95947265625011</v>
      </c>
      <c r="Z23" s="2">
        <f t="shared" si="14"/>
        <v>838.69934082031261</v>
      </c>
      <c r="AA23" s="2">
        <f t="shared" si="14"/>
        <v>1048.3741760253909</v>
      </c>
      <c r="AB23" s="2">
        <f t="shared" si="14"/>
        <v>1310.4677200317385</v>
      </c>
      <c r="AC23" s="2">
        <f t="shared" si="14"/>
        <v>1638.0846500396731</v>
      </c>
      <c r="AD23" s="2">
        <f t="shared" si="14"/>
        <v>2047.6058125495913</v>
      </c>
      <c r="AE23" s="2">
        <f t="shared" si="14"/>
        <v>2559.5072656869893</v>
      </c>
      <c r="AF23" s="2">
        <f t="shared" si="14"/>
        <v>3199.3840821087365</v>
      </c>
      <c r="AG23" s="2">
        <f t="shared" si="14"/>
        <v>3999.2301026359205</v>
      </c>
      <c r="AH23" s="2">
        <f t="shared" si="14"/>
        <v>4999.037628294901</v>
      </c>
      <c r="AI23" s="2">
        <f t="shared" si="14"/>
        <v>6248.797035368626</v>
      </c>
    </row>
    <row r="24" spans="2:135" x14ac:dyDescent="0.2">
      <c r="B24" t="s">
        <v>15</v>
      </c>
      <c r="C24" s="3">
        <f t="shared" ref="C24:K24" si="15">SUM(C21:C23)</f>
        <v>119.68200000000002</v>
      </c>
      <c r="D24" s="3">
        <f t="shared" si="15"/>
        <v>129.37800000000001</v>
      </c>
      <c r="E24" s="3">
        <f t="shared" si="15"/>
        <v>142.13900000000001</v>
      </c>
      <c r="F24" s="3">
        <f t="shared" si="15"/>
        <v>157.476</v>
      </c>
      <c r="G24" s="3">
        <f t="shared" si="15"/>
        <v>158.09399999999999</v>
      </c>
      <c r="H24" s="3">
        <f t="shared" si="15"/>
        <v>159.56</v>
      </c>
      <c r="I24" s="3">
        <f t="shared" si="15"/>
        <v>165.505</v>
      </c>
      <c r="J24" s="3">
        <f t="shared" si="15"/>
        <v>172.71199999999999</v>
      </c>
      <c r="K24" s="3">
        <f t="shared" si="15"/>
        <v>189.84</v>
      </c>
      <c r="L24" s="3">
        <f t="shared" ref="L24" si="16">SUM(L21:L23)</f>
        <v>197.28100000000001</v>
      </c>
      <c r="P24" s="3">
        <f>SUM(P21:P23)</f>
        <v>261.43400000000003</v>
      </c>
      <c r="Q24" s="3">
        <f>SUM(Q21:Q23)</f>
        <v>414.77299999999997</v>
      </c>
      <c r="R24" s="3">
        <f>SUM(R21:R23)</f>
        <v>548.67499999999995</v>
      </c>
      <c r="S24" s="3">
        <f>SUM(S21:S23)</f>
        <v>655.87099999999998</v>
      </c>
      <c r="T24" s="3">
        <f t="shared" ref="T24:AI24" si="17">SUM(T21:T23)</f>
        <v>760.30960000000005</v>
      </c>
      <c r="U24" s="3">
        <f t="shared" si="17"/>
        <v>884.28152000000011</v>
      </c>
      <c r="V24" s="3">
        <f t="shared" si="17"/>
        <v>1031.887774</v>
      </c>
      <c r="W24" s="3">
        <f t="shared" si="17"/>
        <v>1208.1514613000002</v>
      </c>
      <c r="X24" s="3">
        <f t="shared" si="17"/>
        <v>1419.2329836850004</v>
      </c>
      <c r="Y24" s="3">
        <f t="shared" si="17"/>
        <v>1672.6965390282503</v>
      </c>
      <c r="Z24" s="3">
        <f t="shared" si="17"/>
        <v>1977.8402581367127</v>
      </c>
      <c r="AA24" s="3">
        <f t="shared" si="17"/>
        <v>2346.1053582420709</v>
      </c>
      <c r="AB24" s="3">
        <f t="shared" si="17"/>
        <v>2791.5834282724545</v>
      </c>
      <c r="AC24" s="3">
        <f t="shared" si="17"/>
        <v>3331.6456184673025</v>
      </c>
      <c r="AD24" s="3">
        <f t="shared" si="17"/>
        <v>3987.7233050553937</v>
      </c>
      <c r="AE24" s="3">
        <f t="shared" si="17"/>
        <v>4786.2770201258645</v>
      </c>
      <c r="AF24" s="3">
        <f t="shared" si="17"/>
        <v>5759.9994272104886</v>
      </c>
      <c r="AG24" s="3">
        <f t="shared" si="17"/>
        <v>6949.3093205106361</v>
      </c>
      <c r="AH24" s="3">
        <f t="shared" si="17"/>
        <v>8404.2075738724343</v>
      </c>
      <c r="AI24" s="3">
        <f t="shared" si="17"/>
        <v>10186.583342602327</v>
      </c>
    </row>
    <row r="25" spans="2:135" s="5" customFormat="1" x14ac:dyDescent="0.2">
      <c r="B25" s="5" t="s">
        <v>16</v>
      </c>
      <c r="C25" s="6">
        <f t="shared" ref="C25:K25" si="18">+C20-C24</f>
        <v>207.08499999999998</v>
      </c>
      <c r="D25" s="6">
        <f t="shared" si="18"/>
        <v>214.57999999999996</v>
      </c>
      <c r="E25" s="6">
        <f t="shared" si="18"/>
        <v>236.39299999999997</v>
      </c>
      <c r="F25" s="6">
        <f t="shared" si="18"/>
        <v>250.00400000000002</v>
      </c>
      <c r="G25" s="6">
        <f t="shared" si="18"/>
        <v>271.50600000000003</v>
      </c>
      <c r="H25" s="6">
        <f t="shared" si="18"/>
        <v>281.54000000000002</v>
      </c>
      <c r="I25" s="6">
        <f t="shared" si="18"/>
        <v>287.09500000000003</v>
      </c>
      <c r="J25" s="6">
        <f t="shared" si="18"/>
        <v>302.59800000000001</v>
      </c>
      <c r="K25" s="6">
        <f t="shared" si="18"/>
        <v>311.61099999999999</v>
      </c>
      <c r="L25" s="6">
        <f t="shared" ref="L25" si="19">+L20-L24</f>
        <v>311.12900000000002</v>
      </c>
      <c r="M25" s="6"/>
      <c r="N25" s="6"/>
      <c r="P25" s="6">
        <f>+P20-P24</f>
        <v>299.7</v>
      </c>
      <c r="Q25" s="6">
        <f>+Q20-Q24</f>
        <v>654.00400000000013</v>
      </c>
      <c r="R25" s="6">
        <f>+R20-R24</f>
        <v>908.06200000000013</v>
      </c>
      <c r="S25" s="6">
        <f>+S20-S24</f>
        <v>1142.73</v>
      </c>
      <c r="T25" s="6">
        <f t="shared" ref="T25:AI25" si="20">+T20-T24</f>
        <v>1308.0815499999999</v>
      </c>
      <c r="U25" s="6">
        <f t="shared" si="20"/>
        <v>1494.3683024999996</v>
      </c>
      <c r="V25" s="6">
        <f t="shared" si="20"/>
        <v>1703.5595218749993</v>
      </c>
      <c r="W25" s="6">
        <f t="shared" si="20"/>
        <v>1937.6129289562489</v>
      </c>
      <c r="X25" s="6">
        <f t="shared" si="20"/>
        <v>2198.3960651096859</v>
      </c>
      <c r="Y25" s="6">
        <f t="shared" si="20"/>
        <v>2487.5768670856387</v>
      </c>
      <c r="Z25" s="6">
        <f t="shared" si="20"/>
        <v>2806.4741588942588</v>
      </c>
      <c r="AA25" s="6">
        <f t="shared" si="20"/>
        <v>3155.8562213435462</v>
      </c>
      <c r="AB25" s="6">
        <f t="shared" si="20"/>
        <v>3535.672388251005</v>
      </c>
      <c r="AC25" s="6">
        <f t="shared" si="20"/>
        <v>3944.6985705346751</v>
      </c>
      <c r="AD25" s="6">
        <f t="shared" si="20"/>
        <v>4380.0725122968797</v>
      </c>
      <c r="AE25" s="6">
        <f t="shared" si="20"/>
        <v>4836.6881698292491</v>
      </c>
      <c r="AF25" s="6">
        <f t="shared" si="20"/>
        <v>5306.4105412378904</v>
      </c>
      <c r="AG25" s="6">
        <f t="shared" si="20"/>
        <v>5777.0621432049993</v>
      </c>
      <c r="AH25" s="6">
        <f t="shared" si="20"/>
        <v>6231.1196094005445</v>
      </c>
      <c r="AI25" s="6">
        <f t="shared" si="20"/>
        <v>6644.0429181615982</v>
      </c>
    </row>
    <row r="26" spans="2:135" x14ac:dyDescent="0.2">
      <c r="B26" t="s">
        <v>17</v>
      </c>
      <c r="C26" s="3">
        <v>4.3109999999999999</v>
      </c>
      <c r="D26" s="3">
        <v>2.4129999999999998</v>
      </c>
      <c r="E26" s="3">
        <v>1.341</v>
      </c>
      <c r="F26" s="3">
        <v>-9.5340000000000007</v>
      </c>
      <c r="G26" s="3">
        <v>-1.425</v>
      </c>
      <c r="H26" s="3">
        <v>1.4930000000000001</v>
      </c>
      <c r="I26" s="3">
        <v>5.36</v>
      </c>
      <c r="J26" s="3">
        <v>0.44900000000000001</v>
      </c>
      <c r="K26" s="3">
        <v>5.8769999999999998</v>
      </c>
      <c r="L26" s="3">
        <v>6.7919999999999998</v>
      </c>
      <c r="P26" s="3">
        <v>-1.018</v>
      </c>
      <c r="Q26" s="3">
        <v>-6.5129999999999999</v>
      </c>
      <c r="R26" s="3">
        <v>-1.4690000000000001</v>
      </c>
      <c r="S26" s="3">
        <v>5.8769999999999998</v>
      </c>
      <c r="T26" s="2">
        <f>+S39*$AL$39</f>
        <v>9.8575599999999994</v>
      </c>
      <c r="U26" s="2">
        <f>+T39*$AL$39</f>
        <v>22.114393722999999</v>
      </c>
      <c r="V26" s="2">
        <f>+U39*$AL$39</f>
        <v>36.217682797873898</v>
      </c>
      <c r="W26" s="2">
        <f>+V39*$AL$39</f>
        <v>52.397610801331609</v>
      </c>
      <c r="X26" s="2">
        <f>+W39*$AL$39</f>
        <v>70.904708821077108</v>
      </c>
      <c r="Y26" s="2">
        <f>+X39*$AL$39</f>
        <v>92.009206018633208</v>
      </c>
      <c r="Z26" s="2">
        <f>+Y39*$AL$39</f>
        <v>115.99935649850293</v>
      </c>
      <c r="AA26" s="2">
        <f>+Z39*$AL$39</f>
        <v>143.17836019165563</v>
      </c>
      <c r="AB26" s="2">
        <f>+AA39*$AL$39</f>
        <v>173.859381799933</v>
      </c>
      <c r="AC26" s="2">
        <f>+AB39*$AL$39</f>
        <v>208.35802726140673</v>
      </c>
      <c r="AD26" s="2">
        <f>+AC39*$AL$39</f>
        <v>246.98145362091026</v>
      </c>
      <c r="AE26" s="2">
        <f>+AD39*$AL$39</f>
        <v>290.01305550394568</v>
      </c>
      <c r="AF26" s="2">
        <f>+AE39*$AL$39</f>
        <v>337.69137689954442</v>
      </c>
      <c r="AG26" s="2">
        <f>+AF39*$AL$39</f>
        <v>390.18152473822261</v>
      </c>
      <c r="AH26" s="2">
        <f>+AG39*$AL$39</f>
        <v>447.53689085009455</v>
      </c>
      <c r="AI26" s="2">
        <f>+AH39*$AL$39</f>
        <v>509.64839630242557</v>
      </c>
    </row>
    <row r="27" spans="2:135" x14ac:dyDescent="0.2">
      <c r="B27" t="s">
        <v>18</v>
      </c>
      <c r="C27" s="3">
        <f t="shared" ref="C27:L27" si="21">+C25+C26</f>
        <v>211.39599999999999</v>
      </c>
      <c r="D27" s="3">
        <f t="shared" si="21"/>
        <v>216.99299999999997</v>
      </c>
      <c r="E27" s="3">
        <f t="shared" si="21"/>
        <v>237.73399999999998</v>
      </c>
      <c r="F27" s="3">
        <f t="shared" si="21"/>
        <v>240.47000000000003</v>
      </c>
      <c r="G27" s="3">
        <f t="shared" si="21"/>
        <v>270.08100000000002</v>
      </c>
      <c r="H27" s="3">
        <f t="shared" si="21"/>
        <v>283.03300000000002</v>
      </c>
      <c r="I27" s="3">
        <f t="shared" si="21"/>
        <v>292.45500000000004</v>
      </c>
      <c r="J27" s="3">
        <f t="shared" si="21"/>
        <v>303.04700000000003</v>
      </c>
      <c r="K27" s="3">
        <f t="shared" si="21"/>
        <v>317.488</v>
      </c>
      <c r="L27" s="3">
        <f t="shared" si="21"/>
        <v>317.92099999999999</v>
      </c>
      <c r="P27" s="3">
        <f>+P25+P26</f>
        <v>298.68200000000002</v>
      </c>
      <c r="Q27" s="3">
        <f>+Q25+Q26</f>
        <v>647.4910000000001</v>
      </c>
      <c r="R27" s="3">
        <f>+R25+R26</f>
        <v>906.59300000000007</v>
      </c>
      <c r="S27" s="3">
        <f>+S25+S26</f>
        <v>1148.607</v>
      </c>
      <c r="T27" s="3">
        <f>+T25+T26</f>
        <v>1317.9391099999998</v>
      </c>
      <c r="U27" s="3">
        <f t="shared" ref="U27:AI27" si="22">+U25+U26</f>
        <v>1516.4826962229995</v>
      </c>
      <c r="V27" s="3">
        <f t="shared" si="22"/>
        <v>1739.7772046728733</v>
      </c>
      <c r="W27" s="3">
        <f t="shared" si="22"/>
        <v>1990.0105397575805</v>
      </c>
      <c r="X27" s="3">
        <f t="shared" si="22"/>
        <v>2269.3007739307632</v>
      </c>
      <c r="Y27" s="3">
        <f t="shared" si="22"/>
        <v>2579.5860731042717</v>
      </c>
      <c r="Z27" s="3">
        <f t="shared" si="22"/>
        <v>2922.4735153927618</v>
      </c>
      <c r="AA27" s="3">
        <f t="shared" si="22"/>
        <v>3299.0345815352016</v>
      </c>
      <c r="AB27" s="3">
        <f t="shared" si="22"/>
        <v>3709.5317700509381</v>
      </c>
      <c r="AC27" s="3">
        <f t="shared" si="22"/>
        <v>4153.0565977960814</v>
      </c>
      <c r="AD27" s="3">
        <f t="shared" si="22"/>
        <v>4627.0539659177903</v>
      </c>
      <c r="AE27" s="3">
        <f t="shared" si="22"/>
        <v>5126.701225333195</v>
      </c>
      <c r="AF27" s="3">
        <f t="shared" si="22"/>
        <v>5644.101918137435</v>
      </c>
      <c r="AG27" s="3">
        <f t="shared" si="22"/>
        <v>6167.2436679432221</v>
      </c>
      <c r="AH27" s="3">
        <f t="shared" si="22"/>
        <v>6678.6565002506395</v>
      </c>
      <c r="AI27" s="3">
        <f t="shared" si="22"/>
        <v>7153.6913144640239</v>
      </c>
    </row>
    <row r="28" spans="2:135" x14ac:dyDescent="0.2">
      <c r="B28" t="s">
        <v>19</v>
      </c>
      <c r="C28" s="3">
        <v>13.707000000000001</v>
      </c>
      <c r="D28" s="3">
        <v>16.12</v>
      </c>
      <c r="E28" s="3">
        <v>16.437000000000001</v>
      </c>
      <c r="F28" s="3">
        <v>16.968</v>
      </c>
      <c r="G28" s="3">
        <v>18.905000000000001</v>
      </c>
      <c r="H28" s="3">
        <v>18.919</v>
      </c>
      <c r="I28" s="3">
        <v>19.736999999999998</v>
      </c>
      <c r="J28" s="3">
        <v>20.187999999999999</v>
      </c>
      <c r="K28" s="3">
        <v>48.331000000000003</v>
      </c>
      <c r="L28" s="3">
        <v>48.777999999999999</v>
      </c>
      <c r="P28" s="3">
        <v>14.06</v>
      </c>
      <c r="Q28" s="3">
        <v>42.055999999999997</v>
      </c>
      <c r="R28" s="3">
        <v>63.231999999999999</v>
      </c>
      <c r="S28" s="3">
        <v>5.8769999999999998</v>
      </c>
      <c r="T28" s="2">
        <f>+T27*0.07</f>
        <v>92.255737699999997</v>
      </c>
      <c r="U28" s="2">
        <f t="shared" ref="U28:AI28" si="23">+U27*0.07</f>
        <v>106.15378873560998</v>
      </c>
      <c r="V28" s="2">
        <f t="shared" si="23"/>
        <v>121.78440432710114</v>
      </c>
      <c r="W28" s="2">
        <f t="shared" si="23"/>
        <v>139.30073778303066</v>
      </c>
      <c r="X28" s="2">
        <f t="shared" si="23"/>
        <v>158.85105417515345</v>
      </c>
      <c r="Y28" s="2">
        <f t="shared" si="23"/>
        <v>180.57102511729903</v>
      </c>
      <c r="Z28" s="2">
        <f t="shared" si="23"/>
        <v>204.57314607749333</v>
      </c>
      <c r="AA28" s="2">
        <f t="shared" si="23"/>
        <v>230.93242070746413</v>
      </c>
      <c r="AB28" s="2">
        <f t="shared" si="23"/>
        <v>259.66722390356568</v>
      </c>
      <c r="AC28" s="2">
        <f t="shared" si="23"/>
        <v>290.71396184572575</v>
      </c>
      <c r="AD28" s="2">
        <f t="shared" si="23"/>
        <v>323.89377761424532</v>
      </c>
      <c r="AE28" s="2">
        <f t="shared" si="23"/>
        <v>358.86908577332366</v>
      </c>
      <c r="AF28" s="2">
        <f t="shared" si="23"/>
        <v>395.08713426962049</v>
      </c>
      <c r="AG28" s="2">
        <f t="shared" si="23"/>
        <v>431.70705675602557</v>
      </c>
      <c r="AH28" s="2">
        <f t="shared" si="23"/>
        <v>467.50595501754481</v>
      </c>
      <c r="AI28" s="2">
        <f t="shared" si="23"/>
        <v>500.75839201248169</v>
      </c>
    </row>
    <row r="29" spans="2:135" s="5" customFormat="1" x14ac:dyDescent="0.2">
      <c r="B29" s="5" t="s">
        <v>20</v>
      </c>
      <c r="C29" s="6">
        <f t="shared" ref="C29:L29" si="24">+C27-C28</f>
        <v>197.68899999999999</v>
      </c>
      <c r="D29" s="6">
        <f t="shared" si="24"/>
        <v>200.87299999999996</v>
      </c>
      <c r="E29" s="6">
        <f t="shared" si="24"/>
        <v>221.29699999999997</v>
      </c>
      <c r="F29" s="6">
        <f t="shared" si="24"/>
        <v>223.50200000000004</v>
      </c>
      <c r="G29" s="6">
        <f t="shared" si="24"/>
        <v>251.17600000000002</v>
      </c>
      <c r="H29" s="6">
        <f t="shared" si="24"/>
        <v>264.11400000000003</v>
      </c>
      <c r="I29" s="6">
        <f t="shared" si="24"/>
        <v>272.71800000000002</v>
      </c>
      <c r="J29" s="6">
        <f t="shared" si="24"/>
        <v>282.85900000000004</v>
      </c>
      <c r="K29" s="6">
        <f t="shared" si="24"/>
        <v>269.15699999999998</v>
      </c>
      <c r="L29" s="6">
        <f t="shared" si="24"/>
        <v>269.14299999999997</v>
      </c>
      <c r="M29" s="6"/>
      <c r="N29" s="6"/>
      <c r="P29" s="6">
        <f>+P27-P28</f>
        <v>284.62200000000001</v>
      </c>
      <c r="Q29" s="6">
        <f>+Q27-Q28</f>
        <v>605.43500000000006</v>
      </c>
      <c r="R29" s="6">
        <f>+R27-R28</f>
        <v>843.3610000000001</v>
      </c>
      <c r="S29" s="6">
        <f>+S27-S28</f>
        <v>1142.73</v>
      </c>
      <c r="T29" s="6">
        <f>+T27-T28</f>
        <v>1225.6833722999997</v>
      </c>
      <c r="U29" s="6">
        <f t="shared" ref="U29:AI29" si="25">+U27-U28</f>
        <v>1410.3289074873894</v>
      </c>
      <c r="V29" s="6">
        <f t="shared" si="25"/>
        <v>1617.9928003457721</v>
      </c>
      <c r="W29" s="6">
        <f t="shared" si="25"/>
        <v>1850.7098019745499</v>
      </c>
      <c r="X29" s="6">
        <f t="shared" si="25"/>
        <v>2110.4497197556097</v>
      </c>
      <c r="Y29" s="6">
        <f t="shared" si="25"/>
        <v>2399.0150479869726</v>
      </c>
      <c r="Z29" s="6">
        <f t="shared" si="25"/>
        <v>2717.9003693152686</v>
      </c>
      <c r="AA29" s="6">
        <f t="shared" si="25"/>
        <v>3068.1021608277374</v>
      </c>
      <c r="AB29" s="6">
        <f t="shared" si="25"/>
        <v>3449.8645461473725</v>
      </c>
      <c r="AC29" s="6">
        <f t="shared" si="25"/>
        <v>3862.3426359503555</v>
      </c>
      <c r="AD29" s="6">
        <f t="shared" si="25"/>
        <v>4303.1601883035446</v>
      </c>
      <c r="AE29" s="6">
        <f t="shared" si="25"/>
        <v>4767.8321395598714</v>
      </c>
      <c r="AF29" s="6">
        <f t="shared" si="25"/>
        <v>5249.0147838678149</v>
      </c>
      <c r="AG29" s="6">
        <f t="shared" si="25"/>
        <v>5735.5366111871963</v>
      </c>
      <c r="AH29" s="6">
        <f>+AH27-AH28</f>
        <v>6211.1505452330948</v>
      </c>
      <c r="AI29" s="6">
        <f t="shared" si="25"/>
        <v>6652.9329224515423</v>
      </c>
      <c r="AJ29" s="6">
        <f>+AI29*(1+$AL$41)</f>
        <v>6453.3449347779961</v>
      </c>
      <c r="AK29" s="6">
        <f t="shared" ref="AK29:CV29" si="26">+AJ29*(1+$AL$41)</f>
        <v>6259.744586734656</v>
      </c>
      <c r="AL29" s="6">
        <f t="shared" si="26"/>
        <v>6071.9522491326161</v>
      </c>
      <c r="AM29" s="6">
        <f t="shared" si="26"/>
        <v>5889.7936816586371</v>
      </c>
      <c r="AN29" s="6">
        <f t="shared" si="26"/>
        <v>5713.0998712088776</v>
      </c>
      <c r="AO29" s="6">
        <f t="shared" si="26"/>
        <v>5541.7068750726112</v>
      </c>
      <c r="AP29" s="6">
        <f t="shared" si="26"/>
        <v>5375.4556688204329</v>
      </c>
      <c r="AQ29" s="6">
        <f t="shared" si="26"/>
        <v>5214.1919987558194</v>
      </c>
      <c r="AR29" s="6">
        <f t="shared" si="26"/>
        <v>5057.766238793145</v>
      </c>
      <c r="AS29" s="6">
        <f t="shared" si="26"/>
        <v>4906.0332516293502</v>
      </c>
      <c r="AT29" s="6">
        <f t="shared" si="26"/>
        <v>4758.8522540804697</v>
      </c>
      <c r="AU29" s="6">
        <f t="shared" si="26"/>
        <v>4616.0866864580557</v>
      </c>
      <c r="AV29" s="6">
        <f t="shared" si="26"/>
        <v>4477.6040858643137</v>
      </c>
      <c r="AW29" s="6">
        <f t="shared" si="26"/>
        <v>4343.2759632883844</v>
      </c>
      <c r="AX29" s="6">
        <f t="shared" si="26"/>
        <v>4212.9776843897325</v>
      </c>
      <c r="AY29" s="6">
        <f t="shared" si="26"/>
        <v>4086.5883538580406</v>
      </c>
      <c r="AZ29" s="6">
        <f t="shared" si="26"/>
        <v>3963.9907032422993</v>
      </c>
      <c r="BA29" s="6">
        <f t="shared" si="26"/>
        <v>3845.07098214503</v>
      </c>
      <c r="BB29" s="6">
        <f t="shared" si="26"/>
        <v>3729.718852680679</v>
      </c>
      <c r="BC29" s="6">
        <f t="shared" si="26"/>
        <v>3617.8272871002587</v>
      </c>
      <c r="BD29" s="6">
        <f t="shared" si="26"/>
        <v>3509.292468487251</v>
      </c>
      <c r="BE29" s="6">
        <f t="shared" si="26"/>
        <v>3404.0136944326332</v>
      </c>
      <c r="BF29" s="6">
        <f t="shared" si="26"/>
        <v>3301.8932835996543</v>
      </c>
      <c r="BG29" s="6">
        <f t="shared" si="26"/>
        <v>3202.8364850916646</v>
      </c>
      <c r="BH29" s="6">
        <f t="shared" si="26"/>
        <v>3106.7513905389146</v>
      </c>
      <c r="BI29" s="6">
        <f t="shared" si="26"/>
        <v>3013.548848822747</v>
      </c>
      <c r="BJ29" s="6">
        <f t="shared" si="26"/>
        <v>2923.1423833580643</v>
      </c>
      <c r="BK29" s="6">
        <f t="shared" si="26"/>
        <v>2835.4481118573221</v>
      </c>
      <c r="BL29" s="6">
        <f t="shared" si="26"/>
        <v>2750.3846685016024</v>
      </c>
      <c r="BM29" s="6">
        <f t="shared" si="26"/>
        <v>2667.8731284465543</v>
      </c>
      <c r="BN29" s="6">
        <f t="shared" si="26"/>
        <v>2587.8369345931578</v>
      </c>
      <c r="BO29" s="6">
        <f t="shared" si="26"/>
        <v>2510.2018265553629</v>
      </c>
      <c r="BP29" s="6">
        <f t="shared" si="26"/>
        <v>2434.8957717587018</v>
      </c>
      <c r="BQ29" s="6">
        <f t="shared" si="26"/>
        <v>2361.8488986059406</v>
      </c>
      <c r="BR29" s="6">
        <f t="shared" si="26"/>
        <v>2290.9934316477625</v>
      </c>
      <c r="BS29" s="6">
        <f t="shared" si="26"/>
        <v>2222.2636286983297</v>
      </c>
      <c r="BT29" s="6">
        <f t="shared" si="26"/>
        <v>2155.5957198373799</v>
      </c>
      <c r="BU29" s="6">
        <f t="shared" si="26"/>
        <v>2090.9278482422583</v>
      </c>
      <c r="BV29" s="6">
        <f t="shared" si="26"/>
        <v>2028.2000127949905</v>
      </c>
      <c r="BW29" s="6">
        <f t="shared" si="26"/>
        <v>1967.3540124111407</v>
      </c>
      <c r="BX29" s="6">
        <f t="shared" si="26"/>
        <v>1908.3333920388066</v>
      </c>
      <c r="BY29" s="6">
        <f t="shared" si="26"/>
        <v>1851.0833902776424</v>
      </c>
      <c r="BZ29" s="6">
        <f t="shared" si="26"/>
        <v>1795.550888569313</v>
      </c>
      <c r="CA29" s="6">
        <f t="shared" si="26"/>
        <v>1741.6843619122335</v>
      </c>
      <c r="CB29" s="6">
        <f t="shared" si="26"/>
        <v>1689.4338310548665</v>
      </c>
      <c r="CC29" s="6">
        <f t="shared" si="26"/>
        <v>1638.7508161232204</v>
      </c>
      <c r="CD29" s="6">
        <f t="shared" si="26"/>
        <v>1589.5882916395237</v>
      </c>
      <c r="CE29" s="6">
        <f t="shared" si="26"/>
        <v>1541.9006428903381</v>
      </c>
      <c r="CF29" s="6">
        <f t="shared" si="26"/>
        <v>1495.6436236036279</v>
      </c>
      <c r="CG29" s="6">
        <f t="shared" si="26"/>
        <v>1450.774314895519</v>
      </c>
      <c r="CH29" s="6">
        <f t="shared" si="26"/>
        <v>1407.2510854486534</v>
      </c>
      <c r="CI29" s="6">
        <f t="shared" si="26"/>
        <v>1365.0335528851938</v>
      </c>
      <c r="CJ29" s="6">
        <f t="shared" si="26"/>
        <v>1324.0825462986379</v>
      </c>
      <c r="CK29" s="6">
        <f t="shared" si="26"/>
        <v>1284.3600699096787</v>
      </c>
      <c r="CL29" s="6">
        <f t="shared" si="26"/>
        <v>1245.8292678123883</v>
      </c>
      <c r="CM29" s="6">
        <f t="shared" si="26"/>
        <v>1208.4543897780165</v>
      </c>
      <c r="CN29" s="6">
        <f t="shared" si="26"/>
        <v>1172.200758084676</v>
      </c>
      <c r="CO29" s="6">
        <f t="shared" si="26"/>
        <v>1137.0347353421357</v>
      </c>
      <c r="CP29" s="6">
        <f t="shared" si="26"/>
        <v>1102.9236932818717</v>
      </c>
      <c r="CQ29" s="6">
        <f t="shared" si="26"/>
        <v>1069.8359824834156</v>
      </c>
      <c r="CR29" s="6">
        <f t="shared" si="26"/>
        <v>1037.7409030089132</v>
      </c>
      <c r="CS29" s="6">
        <f t="shared" si="26"/>
        <v>1006.6086759186458</v>
      </c>
      <c r="CT29" s="6">
        <f t="shared" si="26"/>
        <v>976.41041564108639</v>
      </c>
      <c r="CU29" s="6">
        <f t="shared" si="26"/>
        <v>947.11810317185382</v>
      </c>
      <c r="CV29" s="6">
        <f t="shared" si="26"/>
        <v>918.70456007669816</v>
      </c>
      <c r="CW29" s="6">
        <f t="shared" ref="CW29:EE29" si="27">+CV29*(1+$AL$41)</f>
        <v>891.14342327439715</v>
      </c>
      <c r="CX29" s="6">
        <f t="shared" si="27"/>
        <v>864.40912057616526</v>
      </c>
      <c r="CY29" s="6">
        <f t="shared" si="27"/>
        <v>838.47684695888029</v>
      </c>
      <c r="CZ29" s="6">
        <f t="shared" si="27"/>
        <v>813.3225415501139</v>
      </c>
      <c r="DA29" s="6">
        <f t="shared" si="27"/>
        <v>788.92286530361048</v>
      </c>
      <c r="DB29" s="6">
        <f t="shared" si="27"/>
        <v>765.25517934450215</v>
      </c>
      <c r="DC29" s="6">
        <f t="shared" si="27"/>
        <v>742.29752396416711</v>
      </c>
      <c r="DD29" s="6">
        <f t="shared" si="27"/>
        <v>720.02859824524205</v>
      </c>
      <c r="DE29" s="6">
        <f t="shared" si="27"/>
        <v>698.42774029788472</v>
      </c>
      <c r="DF29" s="6">
        <f t="shared" si="27"/>
        <v>677.47490808894815</v>
      </c>
      <c r="DG29" s="6">
        <f t="shared" si="27"/>
        <v>657.15066084627972</v>
      </c>
      <c r="DH29" s="6">
        <f t="shared" si="27"/>
        <v>637.43614102089134</v>
      </c>
      <c r="DI29" s="6">
        <f t="shared" si="27"/>
        <v>618.31305679026457</v>
      </c>
      <c r="DJ29" s="6">
        <f t="shared" si="27"/>
        <v>599.76366508655667</v>
      </c>
      <c r="DK29" s="6">
        <f t="shared" si="27"/>
        <v>581.77075513395994</v>
      </c>
      <c r="DL29" s="6">
        <f t="shared" si="27"/>
        <v>564.31763247994115</v>
      </c>
      <c r="DM29" s="6">
        <f t="shared" si="27"/>
        <v>547.38810350554286</v>
      </c>
      <c r="DN29" s="6">
        <f t="shared" si="27"/>
        <v>530.9664604003766</v>
      </c>
      <c r="DO29" s="6">
        <f t="shared" si="27"/>
        <v>515.03746658836531</v>
      </c>
      <c r="DP29" s="6">
        <f t="shared" si="27"/>
        <v>499.58634259071431</v>
      </c>
      <c r="DQ29" s="6">
        <f t="shared" si="27"/>
        <v>484.59875231299287</v>
      </c>
      <c r="DR29" s="6">
        <f t="shared" si="27"/>
        <v>470.0607897436031</v>
      </c>
      <c r="DS29" s="6">
        <f t="shared" si="27"/>
        <v>455.95896605129496</v>
      </c>
      <c r="DT29" s="6">
        <f t="shared" si="27"/>
        <v>442.28019706975613</v>
      </c>
      <c r="DU29" s="6">
        <f t="shared" si="27"/>
        <v>429.01179115766342</v>
      </c>
      <c r="DV29" s="6">
        <f t="shared" si="27"/>
        <v>416.14143742293351</v>
      </c>
      <c r="DW29" s="6">
        <f t="shared" si="27"/>
        <v>403.65719430024546</v>
      </c>
      <c r="DX29" s="6">
        <f t="shared" si="27"/>
        <v>391.54747847123809</v>
      </c>
      <c r="DY29" s="6">
        <f t="shared" si="27"/>
        <v>379.80105411710093</v>
      </c>
      <c r="DZ29" s="6">
        <f t="shared" si="27"/>
        <v>368.40702249358787</v>
      </c>
      <c r="EA29" s="6">
        <f t="shared" si="27"/>
        <v>357.35481181878021</v>
      </c>
      <c r="EB29" s="6">
        <f t="shared" si="27"/>
        <v>346.63416746421677</v>
      </c>
      <c r="EC29" s="6">
        <f t="shared" si="27"/>
        <v>336.23514244029025</v>
      </c>
      <c r="ED29" s="6">
        <f t="shared" si="27"/>
        <v>326.14808816708154</v>
      </c>
      <c r="EE29" s="6">
        <f t="shared" si="27"/>
        <v>316.36364552206908</v>
      </c>
    </row>
    <row r="30" spans="2:135" x14ac:dyDescent="0.2">
      <c r="B30" t="s">
        <v>29</v>
      </c>
      <c r="C30" s="4">
        <f t="shared" ref="C30:L30" si="28">+C29/C31</f>
        <v>0.90404610765481597</v>
      </c>
      <c r="D30" s="4">
        <f t="shared" si="28"/>
        <v>0.92512652540893625</v>
      </c>
      <c r="E30" s="4">
        <f t="shared" si="28"/>
        <v>1.0192133298146275</v>
      </c>
      <c r="F30" s="4">
        <f t="shared" si="28"/>
        <v>1.0295110027715939</v>
      </c>
      <c r="G30" s="4">
        <f t="shared" si="28"/>
        <v>1.143631566762771</v>
      </c>
      <c r="H30" s="4">
        <f t="shared" si="28"/>
        <v>1.2159109232480227</v>
      </c>
      <c r="I30" s="4">
        <f t="shared" si="28"/>
        <v>1.2618793390289367</v>
      </c>
      <c r="J30" s="4">
        <f t="shared" si="28"/>
        <v>1.3137230562337183</v>
      </c>
      <c r="K30" s="4">
        <f t="shared" si="28"/>
        <v>1.2554149368757708</v>
      </c>
      <c r="L30" s="4">
        <f t="shared" si="28"/>
        <v>1.2752941437135665</v>
      </c>
      <c r="M30" s="4"/>
      <c r="N30" s="4"/>
      <c r="P30" s="4">
        <f>+P29/P31</f>
        <v>1.5057664439655405</v>
      </c>
      <c r="Q30" s="4">
        <f>+Q29/Q31</f>
        <v>2.7294121308764652</v>
      </c>
      <c r="R30" s="4">
        <f>+R29/R31</f>
        <v>3.8774225948892611</v>
      </c>
      <c r="S30" s="4">
        <f>+S29/S31</f>
        <v>5.2637251934979705</v>
      </c>
      <c r="T30" s="4">
        <f t="shared" ref="T30:AI30" si="29">+T29/T31</f>
        <v>5.6983270778115545</v>
      </c>
      <c r="U30" s="4">
        <f t="shared" si="29"/>
        <v>6.6183013303784239</v>
      </c>
      <c r="V30" s="4">
        <f t="shared" si="29"/>
        <v>7.6647504721600725</v>
      </c>
      <c r="W30" s="4">
        <f t="shared" si="29"/>
        <v>8.8510349203188685</v>
      </c>
      <c r="X30" s="4">
        <f t="shared" si="29"/>
        <v>10.190717605641508</v>
      </c>
      <c r="Y30" s="4">
        <f t="shared" si="29"/>
        <v>11.697074715934361</v>
      </c>
      <c r="Z30" s="4">
        <f t="shared" si="29"/>
        <v>13.382389298596612</v>
      </c>
      <c r="AA30" s="4">
        <f t="shared" si="29"/>
        <v>15.256956084143873</v>
      </c>
      <c r="AB30" s="4">
        <f t="shared" si="29"/>
        <v>17.327704602506298</v>
      </c>
      <c r="AC30" s="4">
        <f t="shared" si="29"/>
        <v>19.596320338183382</v>
      </c>
      <c r="AD30" s="4">
        <f t="shared" si="29"/>
        <v>22.05670863574645</v>
      </c>
      <c r="AE30" s="4">
        <f t="shared" si="29"/>
        <v>24.691601191535327</v>
      </c>
      <c r="AF30" s="4">
        <f t="shared" si="29"/>
        <v>27.468047533706034</v>
      </c>
      <c r="AG30" s="4">
        <f t="shared" si="29"/>
        <v>30.331460439192281</v>
      </c>
      <c r="AH30" s="4">
        <f t="shared" si="29"/>
        <v>33.197790351938792</v>
      </c>
      <c r="AI30" s="4">
        <f t="shared" si="29"/>
        <v>35.943283932393435</v>
      </c>
    </row>
    <row r="31" spans="2:135" x14ac:dyDescent="0.2">
      <c r="B31" t="s">
        <v>1</v>
      </c>
      <c r="C31" s="3">
        <v>218.671369</v>
      </c>
      <c r="D31" s="3">
        <v>217.13030000000001</v>
      </c>
      <c r="E31" s="3">
        <v>217.12530000000001</v>
      </c>
      <c r="F31" s="3">
        <v>217.09530000000001</v>
      </c>
      <c r="G31" s="3">
        <v>219.63017400000001</v>
      </c>
      <c r="H31" s="3">
        <v>217.21492499999999</v>
      </c>
      <c r="I31" s="3">
        <v>216.12050500000001</v>
      </c>
      <c r="J31" s="3">
        <v>215.310981</v>
      </c>
      <c r="K31" s="3">
        <v>214.39684370000001</v>
      </c>
      <c r="L31" s="3">
        <v>211.04386099999999</v>
      </c>
      <c r="P31" s="3">
        <v>189.02134599999999</v>
      </c>
      <c r="Q31" s="3">
        <v>221.818828</v>
      </c>
      <c r="R31" s="3">
        <v>217.50556700000001</v>
      </c>
      <c r="S31" s="3">
        <v>217.09530000000001</v>
      </c>
      <c r="T31" s="2">
        <f>+S31-2</f>
        <v>215.09530000000001</v>
      </c>
      <c r="U31" s="2">
        <f t="shared" ref="U31:AI31" si="30">+T31-2</f>
        <v>213.09530000000001</v>
      </c>
      <c r="V31" s="2">
        <f t="shared" si="30"/>
        <v>211.09530000000001</v>
      </c>
      <c r="W31" s="2">
        <f t="shared" si="30"/>
        <v>209.09530000000001</v>
      </c>
      <c r="X31" s="2">
        <f t="shared" si="30"/>
        <v>207.09530000000001</v>
      </c>
      <c r="Y31" s="2">
        <f t="shared" si="30"/>
        <v>205.09530000000001</v>
      </c>
      <c r="Z31" s="2">
        <f t="shared" si="30"/>
        <v>203.09530000000001</v>
      </c>
      <c r="AA31" s="2">
        <f t="shared" si="30"/>
        <v>201.09530000000001</v>
      </c>
      <c r="AB31" s="2">
        <f t="shared" si="30"/>
        <v>199.09530000000001</v>
      </c>
      <c r="AC31" s="2">
        <f t="shared" si="30"/>
        <v>197.09530000000001</v>
      </c>
      <c r="AD31" s="2">
        <f t="shared" si="30"/>
        <v>195.09530000000001</v>
      </c>
      <c r="AE31" s="2">
        <f t="shared" si="30"/>
        <v>193.09530000000001</v>
      </c>
      <c r="AF31" s="2">
        <f t="shared" si="30"/>
        <v>191.09530000000001</v>
      </c>
      <c r="AG31" s="2">
        <f t="shared" si="30"/>
        <v>189.09530000000001</v>
      </c>
      <c r="AH31" s="2">
        <f t="shared" si="30"/>
        <v>187.09530000000001</v>
      </c>
      <c r="AI31" s="2">
        <f t="shared" si="30"/>
        <v>185.09530000000001</v>
      </c>
    </row>
    <row r="33" spans="2:38" s="9" customFormat="1" x14ac:dyDescent="0.2">
      <c r="B33" s="9" t="s">
        <v>66</v>
      </c>
      <c r="C33" s="10">
        <f t="shared" ref="C33:J33" si="31">+C25/C20</f>
        <v>0.63373902505454949</v>
      </c>
      <c r="D33" s="10">
        <f t="shared" si="31"/>
        <v>0.62385523813954025</v>
      </c>
      <c r="E33" s="10">
        <f t="shared" si="31"/>
        <v>0.62449938182240861</v>
      </c>
      <c r="F33" s="10">
        <f t="shared" si="31"/>
        <v>0.61353686070481994</v>
      </c>
      <c r="G33" s="10">
        <f t="shared" si="31"/>
        <v>0.63199720670391069</v>
      </c>
      <c r="H33" s="10">
        <f t="shared" si="31"/>
        <v>0.6382679664475176</v>
      </c>
      <c r="I33" s="10">
        <f t="shared" si="31"/>
        <v>0.63432390631904556</v>
      </c>
      <c r="J33" s="10">
        <f t="shared" si="31"/>
        <v>0.63663293429551238</v>
      </c>
      <c r="K33" s="10">
        <f t="shared" ref="K33:L33" si="32">+K25/K20</f>
        <v>0.62141864309773032</v>
      </c>
      <c r="L33" s="10">
        <f t="shared" si="32"/>
        <v>0.61196475285694618</v>
      </c>
      <c r="M33" s="10"/>
      <c r="N33" s="10"/>
      <c r="P33" s="9">
        <f t="shared" ref="P33:R33" si="33">+P25/P20</f>
        <v>0.53409702495304145</v>
      </c>
      <c r="Q33" s="9">
        <f t="shared" si="33"/>
        <v>0.61191810826767423</v>
      </c>
      <c r="R33" s="9">
        <f t="shared" si="33"/>
        <v>0.62335342618468537</v>
      </c>
      <c r="S33" s="9">
        <f>+S25/S20</f>
        <v>0.63534380332269358</v>
      </c>
      <c r="T33" s="9">
        <f t="shared" ref="T33:AI33" si="34">+T25/T20</f>
        <v>0.63241498108324434</v>
      </c>
      <c r="U33" s="9">
        <f t="shared" si="34"/>
        <v>0.62824224413553831</v>
      </c>
      <c r="V33" s="9">
        <f t="shared" si="34"/>
        <v>0.62277183129937597</v>
      </c>
      <c r="W33" s="9">
        <f t="shared" si="34"/>
        <v>0.61594343650079086</v>
      </c>
      <c r="X33" s="9">
        <f t="shared" si="34"/>
        <v>0.60768974249644048</v>
      </c>
      <c r="Y33" s="9">
        <f t="shared" si="34"/>
        <v>0.59793591051730521</v>
      </c>
      <c r="Z33" s="9">
        <f t="shared" si="34"/>
        <v>0.58659902219300375</v>
      </c>
      <c r="AA33" s="9">
        <f t="shared" si="34"/>
        <v>0.57358746979495101</v>
      </c>
      <c r="AB33" s="9">
        <f t="shared" si="34"/>
        <v>0.55880029048575708</v>
      </c>
      <c r="AC33" s="9">
        <f t="shared" si="34"/>
        <v>0.5421264398813066</v>
      </c>
      <c r="AD33" s="9">
        <f t="shared" si="34"/>
        <v>0.52344399981820022</v>
      </c>
      <c r="AE33" s="9">
        <f t="shared" si="34"/>
        <v>0.50261931476983857</v>
      </c>
      <c r="AF33" s="9">
        <f t="shared" si="34"/>
        <v>0.47950605086627762</v>
      </c>
      <c r="AG33" s="9">
        <f t="shared" si="34"/>
        <v>0.45394417094268191</v>
      </c>
      <c r="AH33" s="9">
        <f t="shared" si="34"/>
        <v>0.42575881846510555</v>
      </c>
      <c r="AI33" s="9">
        <f t="shared" si="34"/>
        <v>0.394759102556415</v>
      </c>
    </row>
    <row r="34" spans="2:38" s="9" customFormat="1" x14ac:dyDescent="0.2">
      <c r="B34" s="9" t="s">
        <v>67</v>
      </c>
      <c r="C34" s="10">
        <f t="shared" ref="C34:J34" si="35">+C29/C20</f>
        <v>0.60498459146731465</v>
      </c>
      <c r="D34" s="10">
        <f t="shared" si="35"/>
        <v>0.58400444240285143</v>
      </c>
      <c r="E34" s="10">
        <f t="shared" si="35"/>
        <v>0.58461900182811488</v>
      </c>
      <c r="F34" s="10">
        <f t="shared" si="35"/>
        <v>0.54849808579562198</v>
      </c>
      <c r="G34" s="10">
        <f t="shared" si="35"/>
        <v>0.58467411545623837</v>
      </c>
      <c r="H34" s="10">
        <f t="shared" si="35"/>
        <v>0.59876218544547721</v>
      </c>
      <c r="I34" s="10">
        <f t="shared" si="35"/>
        <v>0.60255855059655328</v>
      </c>
      <c r="J34" s="10">
        <f t="shared" si="35"/>
        <v>0.59510424775409743</v>
      </c>
      <c r="K34" s="10">
        <f t="shared" ref="K34:L34" si="36">+K29/K20</f>
        <v>0.53675633312128201</v>
      </c>
      <c r="L34" s="10">
        <f t="shared" si="36"/>
        <v>0.52938179815503228</v>
      </c>
      <c r="M34" s="10"/>
      <c r="N34" s="10"/>
      <c r="P34" s="9">
        <f t="shared" ref="P34:R34" si="37">+P29/P20</f>
        <v>0.50722643789184041</v>
      </c>
      <c r="Q34" s="9">
        <f t="shared" si="37"/>
        <v>0.56647457795218281</v>
      </c>
      <c r="R34" s="9">
        <f t="shared" si="37"/>
        <v>0.57893840823703935</v>
      </c>
      <c r="S34" s="9">
        <f>+S29/S20</f>
        <v>0.63534380332269358</v>
      </c>
      <c r="T34" s="9">
        <f t="shared" ref="T34:AI34" si="38">+T29/T20</f>
        <v>0.59257813605516529</v>
      </c>
      <c r="U34" s="9">
        <f t="shared" si="38"/>
        <v>0.59291153079653858</v>
      </c>
      <c r="V34" s="9">
        <f t="shared" si="38"/>
        <v>0.59149112570572038</v>
      </c>
      <c r="W34" s="9">
        <f t="shared" si="38"/>
        <v>0.58831799600344326</v>
      </c>
      <c r="X34" s="9">
        <f t="shared" si="38"/>
        <v>0.58337924958302867</v>
      </c>
      <c r="Y34" s="9">
        <f t="shared" si="38"/>
        <v>0.5766484107658425</v>
      </c>
      <c r="Z34" s="9">
        <f t="shared" si="38"/>
        <v>0.56808565081764228</v>
      </c>
      <c r="AA34" s="9">
        <f t="shared" si="38"/>
        <v>0.55763787450126345</v>
      </c>
      <c r="AB34" s="9">
        <f t="shared" si="38"/>
        <v>0.54523866999942427</v>
      </c>
      <c r="AC34" s="9">
        <f t="shared" si="38"/>
        <v>0.53080812776671493</v>
      </c>
      <c r="AD34" s="9">
        <f t="shared" si="38"/>
        <v>0.51425253223556133</v>
      </c>
      <c r="AE34" s="9">
        <f t="shared" si="38"/>
        <v>0.49546392878327672</v>
      </c>
      <c r="AF34" s="9">
        <f t="shared" si="38"/>
        <v>0.4743195669447785</v>
      </c>
      <c r="AG34" s="9">
        <f t="shared" si="38"/>
        <v>0.45068121950863038</v>
      </c>
      <c r="AH34" s="9">
        <f t="shared" si="38"/>
        <v>0.42439437584504081</v>
      </c>
      <c r="AI34" s="9">
        <f t="shared" si="38"/>
        <v>0.39528730656690203</v>
      </c>
    </row>
    <row r="35" spans="2:38" s="9" customFormat="1" x14ac:dyDescent="0.2">
      <c r="B35" s="9" t="s">
        <v>68</v>
      </c>
      <c r="C35" s="10">
        <f t="shared" ref="C35:J35" si="39">+C28/C27</f>
        <v>6.4840394331018569E-2</v>
      </c>
      <c r="D35" s="10">
        <f t="shared" si="39"/>
        <v>7.4288110676381275E-2</v>
      </c>
      <c r="E35" s="10">
        <f t="shared" si="39"/>
        <v>6.9140299662648175E-2</v>
      </c>
      <c r="F35" s="10">
        <f t="shared" si="39"/>
        <v>7.0561816442799505E-2</v>
      </c>
      <c r="G35" s="10">
        <f t="shared" si="39"/>
        <v>6.9997519262739699E-2</v>
      </c>
      <c r="H35" s="10">
        <f t="shared" si="39"/>
        <v>6.6843795599806383E-2</v>
      </c>
      <c r="I35" s="10">
        <f t="shared" si="39"/>
        <v>6.74873057393445E-2</v>
      </c>
      <c r="J35" s="10">
        <f t="shared" si="39"/>
        <v>6.661672941820905E-2</v>
      </c>
      <c r="K35" s="10">
        <f t="shared" ref="K35:L35" si="40">+K28/K27</f>
        <v>0.15222937559844782</v>
      </c>
      <c r="L35" s="10">
        <f t="shared" si="40"/>
        <v>0.15342805288106165</v>
      </c>
      <c r="M35" s="10"/>
      <c r="N35" s="10"/>
      <c r="P35" s="9">
        <f t="shared" ref="P35:R35" si="41">+P28/P27</f>
        <v>4.7073476138501817E-2</v>
      </c>
      <c r="Q35" s="9">
        <f t="shared" si="41"/>
        <v>6.495225416260611E-2</v>
      </c>
      <c r="R35" s="9">
        <f t="shared" si="41"/>
        <v>6.9746843401614605E-2</v>
      </c>
      <c r="S35" s="9">
        <f>+S28/S27</f>
        <v>5.1166325819013815E-3</v>
      </c>
      <c r="T35" s="9">
        <f t="shared" ref="T35:AI35" si="42">+T28/T27</f>
        <v>7.0000000000000007E-2</v>
      </c>
      <c r="U35" s="9">
        <f t="shared" si="42"/>
        <v>7.0000000000000007E-2</v>
      </c>
      <c r="V35" s="9">
        <f t="shared" si="42"/>
        <v>7.0000000000000007E-2</v>
      </c>
      <c r="W35" s="9">
        <f t="shared" si="42"/>
        <v>7.0000000000000007E-2</v>
      </c>
      <c r="X35" s="9">
        <f t="shared" si="42"/>
        <v>7.0000000000000007E-2</v>
      </c>
      <c r="Y35" s="9">
        <f t="shared" si="42"/>
        <v>7.0000000000000007E-2</v>
      </c>
      <c r="Z35" s="9">
        <f t="shared" si="42"/>
        <v>7.0000000000000007E-2</v>
      </c>
      <c r="AA35" s="9">
        <f t="shared" si="42"/>
        <v>7.0000000000000007E-2</v>
      </c>
      <c r="AB35" s="9">
        <f t="shared" si="42"/>
        <v>7.0000000000000007E-2</v>
      </c>
      <c r="AC35" s="9">
        <f t="shared" si="42"/>
        <v>7.0000000000000007E-2</v>
      </c>
      <c r="AD35" s="9">
        <f t="shared" si="42"/>
        <v>7.0000000000000007E-2</v>
      </c>
      <c r="AE35" s="9">
        <f t="shared" si="42"/>
        <v>7.0000000000000007E-2</v>
      </c>
      <c r="AF35" s="9">
        <f t="shared" si="42"/>
        <v>7.0000000000000007E-2</v>
      </c>
      <c r="AG35" s="9">
        <f t="shared" si="42"/>
        <v>7.0000000000000007E-2</v>
      </c>
      <c r="AH35" s="9">
        <f t="shared" si="42"/>
        <v>7.0000000000000007E-2</v>
      </c>
      <c r="AI35" s="9">
        <f t="shared" si="42"/>
        <v>7.0000000000000007E-2</v>
      </c>
    </row>
    <row r="36" spans="2:38" s="9" customFormat="1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2:38" s="11" customFormat="1" x14ac:dyDescent="0.2">
      <c r="B37" s="11" t="s">
        <v>69</v>
      </c>
      <c r="C37" s="12"/>
      <c r="D37" s="12"/>
      <c r="E37" s="12"/>
      <c r="F37" s="12"/>
      <c r="G37" s="12">
        <f>+G20/C20-1</f>
        <v>0.31469824064241503</v>
      </c>
      <c r="H37" s="12">
        <f>+H20/D20-1</f>
        <v>0.28242401688578278</v>
      </c>
      <c r="I37" s="12">
        <f t="shared" ref="I37" si="43">+I20/E20-1</f>
        <v>0.19567170014688329</v>
      </c>
      <c r="J37" s="12">
        <f>+J20/F20-1</f>
        <v>0.16646215765190919</v>
      </c>
      <c r="K37" s="12">
        <f>+K20/G20-1</f>
        <v>0.16725093109869649</v>
      </c>
      <c r="L37" s="12">
        <f>+L20/H20-1</f>
        <v>0.15259578326910006</v>
      </c>
      <c r="M37" s="12"/>
      <c r="N37" s="12"/>
      <c r="Q37" s="11">
        <f t="shared" ref="Q37:R37" si="44">+Q20/P20-1</f>
        <v>0.9046733935209772</v>
      </c>
      <c r="R37" s="11">
        <f t="shared" si="44"/>
        <v>0.36299433838864426</v>
      </c>
      <c r="S37" s="11">
        <f>+S20/R20-1</f>
        <v>0.23467791372087055</v>
      </c>
      <c r="T37" s="11">
        <f t="shared" ref="T37:AI37" si="45">+T20/S20-1</f>
        <v>0.15000000000000013</v>
      </c>
      <c r="U37" s="11">
        <f t="shared" si="45"/>
        <v>0.14999999999999991</v>
      </c>
      <c r="V37" s="11">
        <f t="shared" si="45"/>
        <v>0.14999999999999991</v>
      </c>
      <c r="W37" s="11">
        <f t="shared" si="45"/>
        <v>0.14999999999999991</v>
      </c>
      <c r="X37" s="11">
        <f t="shared" si="45"/>
        <v>0.14999999999999991</v>
      </c>
      <c r="Y37" s="11">
        <f t="shared" si="45"/>
        <v>0.14999999999999991</v>
      </c>
      <c r="Z37" s="11">
        <f t="shared" si="45"/>
        <v>0.14999999999999991</v>
      </c>
      <c r="AA37" s="11">
        <f t="shared" si="45"/>
        <v>0.14999999999999991</v>
      </c>
      <c r="AB37" s="11">
        <f t="shared" si="45"/>
        <v>0.14999999999999991</v>
      </c>
      <c r="AC37" s="11">
        <f t="shared" si="45"/>
        <v>0.14999999999999991</v>
      </c>
      <c r="AD37" s="11">
        <f t="shared" si="45"/>
        <v>0.14999999999999991</v>
      </c>
      <c r="AE37" s="11">
        <f t="shared" si="45"/>
        <v>0.14999999999999991</v>
      </c>
      <c r="AF37" s="11">
        <f t="shared" si="45"/>
        <v>0.14999999999999991</v>
      </c>
      <c r="AG37" s="11">
        <f t="shared" si="45"/>
        <v>0.14999999999999991</v>
      </c>
      <c r="AH37" s="11">
        <f t="shared" si="45"/>
        <v>0.14999999999999991</v>
      </c>
      <c r="AI37" s="11">
        <f t="shared" si="45"/>
        <v>0.14999999999999991</v>
      </c>
    </row>
    <row r="38" spans="2:38" s="11" customFormat="1" x14ac:dyDescent="0.2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2:38" x14ac:dyDescent="0.2">
      <c r="B39" t="s">
        <v>30</v>
      </c>
      <c r="C39" s="3">
        <v>439.51600000000002</v>
      </c>
      <c r="D39" s="3">
        <v>293.91500000000002</v>
      </c>
      <c r="E39" s="3">
        <v>319.666</v>
      </c>
      <c r="F39" s="3">
        <f>+F49</f>
        <v>532.55399999999997</v>
      </c>
      <c r="G39" s="3">
        <v>759.73599999999999</v>
      </c>
      <c r="H39" s="3">
        <v>541.70699999999999</v>
      </c>
      <c r="I39" s="3">
        <v>813.32</v>
      </c>
      <c r="J39" s="3">
        <f>+J49</f>
        <v>985.75599999999997</v>
      </c>
      <c r="K39" s="3">
        <f>+K49</f>
        <v>974.125</v>
      </c>
      <c r="L39" s="3">
        <f>+L49</f>
        <v>688.68700000000001</v>
      </c>
      <c r="S39" s="3">
        <f>+J39</f>
        <v>985.75599999999997</v>
      </c>
      <c r="T39" s="2">
        <f>+T29+S39</f>
        <v>2211.4393722999998</v>
      </c>
      <c r="U39" s="2">
        <f>+U29+T39</f>
        <v>3621.7682797873895</v>
      </c>
      <c r="V39" s="2">
        <f t="shared" ref="V39:AI39" si="46">+V29+U39</f>
        <v>5239.7610801331612</v>
      </c>
      <c r="W39" s="2">
        <f t="shared" si="46"/>
        <v>7090.4708821077111</v>
      </c>
      <c r="X39" s="2">
        <f t="shared" si="46"/>
        <v>9200.9206018633213</v>
      </c>
      <c r="Y39" s="2">
        <f t="shared" si="46"/>
        <v>11599.935649850293</v>
      </c>
      <c r="Z39" s="2">
        <f t="shared" si="46"/>
        <v>14317.836019165561</v>
      </c>
      <c r="AA39" s="2">
        <f t="shared" si="46"/>
        <v>17385.9381799933</v>
      </c>
      <c r="AB39" s="2">
        <f t="shared" si="46"/>
        <v>20835.802726140671</v>
      </c>
      <c r="AC39" s="2">
        <f t="shared" si="46"/>
        <v>24698.145362091025</v>
      </c>
      <c r="AD39" s="2">
        <f t="shared" si="46"/>
        <v>29001.305550394569</v>
      </c>
      <c r="AE39" s="2">
        <f t="shared" si="46"/>
        <v>33769.137689954441</v>
      </c>
      <c r="AF39" s="2">
        <f t="shared" si="46"/>
        <v>39018.152473822258</v>
      </c>
      <c r="AG39" s="2">
        <f t="shared" si="46"/>
        <v>44753.689085009457</v>
      </c>
      <c r="AH39" s="2">
        <f t="shared" si="46"/>
        <v>50964.839630242554</v>
      </c>
      <c r="AI39" s="2">
        <f t="shared" si="46"/>
        <v>57617.772552694092</v>
      </c>
      <c r="AK39" t="s">
        <v>82</v>
      </c>
      <c r="AL39" s="13">
        <v>0.01</v>
      </c>
    </row>
    <row r="40" spans="2:38" x14ac:dyDescent="0.2">
      <c r="B40" t="s">
        <v>31</v>
      </c>
      <c r="C40" s="3">
        <f>743.367+2183.203</f>
        <v>2926.5699999999997</v>
      </c>
      <c r="D40" s="3">
        <f>717.062+2125.991</f>
        <v>2843.0529999999999</v>
      </c>
      <c r="E40" s="3">
        <f>766.198+2361.411</f>
        <v>3127.6089999999999</v>
      </c>
      <c r="F40" s="3">
        <f>742.928+2315.332</f>
        <v>3058.2599999999998</v>
      </c>
      <c r="G40" s="3">
        <f>2306.552+731.512</f>
        <v>3038.0640000000003</v>
      </c>
      <c r="H40" s="3">
        <f>699.309+2233.594</f>
        <v>2932.9030000000002</v>
      </c>
      <c r="I40" s="3">
        <f>698.825+2262.373</f>
        <v>2961.1980000000003</v>
      </c>
      <c r="J40" s="3">
        <f>2324.005+714.509</f>
        <v>3038.5140000000001</v>
      </c>
      <c r="K40" s="3">
        <f>2265.564+690.931</f>
        <v>2956.4949999999999</v>
      </c>
      <c r="L40" s="3">
        <f>2293.096+697.638</f>
        <v>2990.7339999999999</v>
      </c>
      <c r="AK40" t="s">
        <v>83</v>
      </c>
      <c r="AL40" s="13">
        <v>0.15</v>
      </c>
    </row>
    <row r="41" spans="2:38" x14ac:dyDescent="0.2">
      <c r="B41" t="s">
        <v>32</v>
      </c>
      <c r="C41" s="3">
        <v>11.353999999999999</v>
      </c>
      <c r="D41" s="3">
        <v>11.298999999999999</v>
      </c>
      <c r="E41" s="3">
        <v>11.242000000000001</v>
      </c>
      <c r="F41" s="3">
        <v>11.186999999999999</v>
      </c>
      <c r="G41" s="3">
        <v>11.132999999999999</v>
      </c>
      <c r="H41" s="3">
        <v>11.077999999999999</v>
      </c>
      <c r="I41" s="3">
        <v>11.023</v>
      </c>
      <c r="J41" s="3">
        <v>10.968</v>
      </c>
      <c r="K41" s="3">
        <v>20.486999999999998</v>
      </c>
      <c r="L41" s="3">
        <v>20.073</v>
      </c>
      <c r="AK41" t="s">
        <v>84</v>
      </c>
      <c r="AL41" s="13">
        <v>-0.03</v>
      </c>
    </row>
    <row r="42" spans="2:38" x14ac:dyDescent="0.2">
      <c r="B42" t="s">
        <v>33</v>
      </c>
      <c r="C42" s="3">
        <v>52.741</v>
      </c>
      <c r="D42" s="3">
        <v>53.558</v>
      </c>
      <c r="E42" s="3">
        <v>59.518000000000001</v>
      </c>
      <c r="F42" s="3">
        <v>67.900000000000006</v>
      </c>
      <c r="G42" s="3">
        <v>69.025999999999996</v>
      </c>
      <c r="H42" s="3">
        <v>68.849000000000004</v>
      </c>
      <c r="I42" s="3">
        <v>69.753</v>
      </c>
      <c r="J42" s="3">
        <v>70.382000000000005</v>
      </c>
      <c r="K42" s="3">
        <v>70.474999999999994</v>
      </c>
      <c r="L42" s="3">
        <v>69.221999999999994</v>
      </c>
      <c r="AK42" t="s">
        <v>85</v>
      </c>
      <c r="AL42" s="14">
        <f>NPV(AL40,T29:EE29)</f>
        <v>19086.133276485096</v>
      </c>
    </row>
    <row r="43" spans="2:38" x14ac:dyDescent="0.2">
      <c r="B43" t="s">
        <v>34</v>
      </c>
      <c r="C43" s="3">
        <v>78.680000000000007</v>
      </c>
      <c r="D43" s="3">
        <v>92.091999999999999</v>
      </c>
      <c r="E43" s="3">
        <v>105.373</v>
      </c>
      <c r="F43" s="3">
        <v>110.996</v>
      </c>
      <c r="G43" s="3">
        <v>115.83799999999999</v>
      </c>
      <c r="H43" s="3">
        <v>119.05500000000001</v>
      </c>
      <c r="I43" s="3">
        <v>123.056</v>
      </c>
      <c r="J43" s="3">
        <v>121.10599999999999</v>
      </c>
      <c r="K43" s="3">
        <v>123.666</v>
      </c>
      <c r="L43" s="3">
        <v>132.45500000000001</v>
      </c>
      <c r="AK43" t="s">
        <v>30</v>
      </c>
      <c r="AL43" s="15">
        <v>986</v>
      </c>
    </row>
    <row r="44" spans="2:38" x14ac:dyDescent="0.2">
      <c r="B44" t="s">
        <v>93</v>
      </c>
      <c r="C44" s="3">
        <v>10.233000000000001</v>
      </c>
      <c r="D44" s="3">
        <f>10.107</f>
        <v>10.106999999999999</v>
      </c>
      <c r="E44" s="3">
        <f>9.654</f>
        <v>9.6539999999999999</v>
      </c>
      <c r="F44" s="3">
        <f>8.868</f>
        <v>8.8680000000000003</v>
      </c>
      <c r="G44" s="3">
        <f>8.482</f>
        <v>8.4819999999999993</v>
      </c>
      <c r="H44" s="3">
        <f>7.742</f>
        <v>7.742</v>
      </c>
      <c r="I44" s="3">
        <f>7.531</f>
        <v>7.5309999999999997</v>
      </c>
      <c r="J44" s="3">
        <f>6.779</f>
        <v>6.7789999999999999</v>
      </c>
      <c r="K44" s="3">
        <f>11.507</f>
        <v>11.507</v>
      </c>
      <c r="L44" s="3">
        <v>9.9329999999999998</v>
      </c>
      <c r="AK44" t="s">
        <v>86</v>
      </c>
      <c r="AL44" s="2">
        <f>+AL42+AL43</f>
        <v>20072.133276485096</v>
      </c>
    </row>
    <row r="45" spans="2:38" x14ac:dyDescent="0.2">
      <c r="B45" t="s">
        <v>37</v>
      </c>
      <c r="C45" s="3">
        <v>2.7269999999999999</v>
      </c>
      <c r="D45" s="3">
        <v>2.8490000000000002</v>
      </c>
      <c r="E45" s="3">
        <v>2.718</v>
      </c>
      <c r="F45" s="3">
        <v>2.7850000000000001</v>
      </c>
      <c r="G45" s="3">
        <v>2.6869999999999998</v>
      </c>
      <c r="H45" s="3">
        <v>3.069</v>
      </c>
      <c r="I45" s="3">
        <v>3.794</v>
      </c>
      <c r="J45" s="3">
        <v>3.4710000000000001</v>
      </c>
      <c r="K45" s="3">
        <v>5.2480000000000002</v>
      </c>
      <c r="L45" s="3">
        <v>8.1460000000000008</v>
      </c>
      <c r="AK45" t="s">
        <v>87</v>
      </c>
      <c r="AL45" s="16">
        <v>87</v>
      </c>
    </row>
    <row r="46" spans="2:38" x14ac:dyDescent="0.2">
      <c r="B46" t="s">
        <v>36</v>
      </c>
      <c r="C46" s="3">
        <v>234.459</v>
      </c>
      <c r="D46" s="3">
        <v>245.03800000000001</v>
      </c>
      <c r="E46" s="3">
        <v>265.41899999999998</v>
      </c>
      <c r="F46" s="3">
        <f>277.012</f>
        <v>277.012</v>
      </c>
      <c r="G46" s="3">
        <v>287.87200000000001</v>
      </c>
      <c r="H46" s="3">
        <v>316.12599999999998</v>
      </c>
      <c r="I46" s="3">
        <v>326.56</v>
      </c>
      <c r="J46" s="3">
        <v>348.42</v>
      </c>
      <c r="K46" s="3">
        <v>396.815</v>
      </c>
      <c r="L46" s="3">
        <v>358.108</v>
      </c>
      <c r="AK46" t="s">
        <v>88</v>
      </c>
      <c r="AL46" s="16">
        <f>+AL44/Main!L4</f>
        <v>93.223918182255161</v>
      </c>
    </row>
    <row r="47" spans="2:38" x14ac:dyDescent="0.2">
      <c r="B47" t="s">
        <v>94</v>
      </c>
      <c r="C47" s="3">
        <v>216.92599999999999</v>
      </c>
      <c r="D47" s="3">
        <v>215.012</v>
      </c>
      <c r="E47" s="3">
        <v>262.35000000000002</v>
      </c>
      <c r="F47" s="3">
        <v>262.346</v>
      </c>
      <c r="G47" s="3">
        <v>328.49099999999999</v>
      </c>
      <c r="H47" s="3">
        <v>251.637</v>
      </c>
      <c r="I47" s="3">
        <v>328.54</v>
      </c>
      <c r="J47" s="3">
        <v>342.06599999999997</v>
      </c>
      <c r="K47" s="3">
        <v>434.983</v>
      </c>
      <c r="L47" s="3">
        <f>447.772+31.73</f>
        <v>479.50200000000001</v>
      </c>
      <c r="AL47" s="13">
        <f>+AL46/AL45-1</f>
        <v>7.1539289451208798E-2</v>
      </c>
    </row>
    <row r="48" spans="2:38" x14ac:dyDescent="0.2">
      <c r="B48" t="s">
        <v>35</v>
      </c>
      <c r="C48" s="3">
        <v>36.896999999999998</v>
      </c>
      <c r="D48" s="3">
        <v>36.886000000000003</v>
      </c>
      <c r="E48" s="3">
        <v>38.671999999999997</v>
      </c>
      <c r="F48" s="3">
        <v>37.463000000000001</v>
      </c>
      <c r="G48" s="3">
        <v>34.93</v>
      </c>
      <c r="H48" s="3">
        <v>33.524999999999999</v>
      </c>
      <c r="I48" s="3">
        <v>32.396000000000001</v>
      </c>
      <c r="J48" s="3">
        <v>46.021999999999998</v>
      </c>
      <c r="K48" s="3">
        <v>45.622</v>
      </c>
      <c r="L48" s="3">
        <v>42.804000000000002</v>
      </c>
    </row>
    <row r="49" spans="2:35" x14ac:dyDescent="0.2">
      <c r="B49" t="s">
        <v>3</v>
      </c>
      <c r="C49" s="3">
        <v>439.51600000000002</v>
      </c>
      <c r="D49" s="3">
        <v>293.91500000000002</v>
      </c>
      <c r="E49" s="3">
        <v>319.666</v>
      </c>
      <c r="F49" s="3">
        <v>532.55399999999997</v>
      </c>
      <c r="G49" s="3">
        <v>759.73599999999999</v>
      </c>
      <c r="H49" s="3">
        <v>541.70699999999999</v>
      </c>
      <c r="I49" s="3">
        <v>813.32</v>
      </c>
      <c r="J49" s="3">
        <v>985.75599999999997</v>
      </c>
      <c r="K49" s="3">
        <v>974.125</v>
      </c>
      <c r="L49" s="3">
        <v>688.68700000000001</v>
      </c>
    </row>
    <row r="50" spans="2:35" s="5" customFormat="1" x14ac:dyDescent="0.2">
      <c r="B50" s="5" t="s">
        <v>38</v>
      </c>
      <c r="C50" s="6">
        <f t="shared" ref="C50:J50" si="47">SUM(C40:C49)</f>
        <v>4010.1029999999992</v>
      </c>
      <c r="D50" s="6">
        <f t="shared" si="47"/>
        <v>3803.8090000000002</v>
      </c>
      <c r="E50" s="6">
        <f t="shared" si="47"/>
        <v>4202.2209999999995</v>
      </c>
      <c r="F50" s="6">
        <f t="shared" si="47"/>
        <v>4369.3710000000001</v>
      </c>
      <c r="G50" s="6">
        <f t="shared" si="47"/>
        <v>4656.259</v>
      </c>
      <c r="H50" s="6">
        <f t="shared" si="47"/>
        <v>4285.6910000000007</v>
      </c>
      <c r="I50" s="6">
        <f t="shared" si="47"/>
        <v>4677.1710000000003</v>
      </c>
      <c r="J50" s="6">
        <f t="shared" si="47"/>
        <v>4973.4840000000004</v>
      </c>
      <c r="K50" s="6">
        <f>SUM(K40:K49)</f>
        <v>5039.4230000000007</v>
      </c>
      <c r="L50" s="6">
        <f>SUM(L40:L49)</f>
        <v>4799.6639999999998</v>
      </c>
      <c r="M50" s="6"/>
      <c r="N50" s="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5" x14ac:dyDescent="0.2">
      <c r="B51" t="s">
        <v>37</v>
      </c>
      <c r="C51" s="3">
        <v>56.8</v>
      </c>
      <c r="D51" s="3">
        <v>54.219000000000001</v>
      </c>
      <c r="E51" s="3">
        <v>59.914000000000001</v>
      </c>
      <c r="F51" s="3">
        <v>66.113</v>
      </c>
      <c r="G51" s="3">
        <v>64.337000000000003</v>
      </c>
      <c r="H51" s="3">
        <v>61.238999999999997</v>
      </c>
      <c r="I51" s="3">
        <v>60.844999999999999</v>
      </c>
      <c r="J51" s="3">
        <v>61.393000000000001</v>
      </c>
      <c r="K51" s="3">
        <v>59.295999999999999</v>
      </c>
      <c r="L51" s="3">
        <v>60.192999999999998</v>
      </c>
    </row>
    <row r="52" spans="2:35" x14ac:dyDescent="0.2">
      <c r="B52" t="s">
        <v>100</v>
      </c>
      <c r="C52" s="3">
        <v>50.164000000000001</v>
      </c>
      <c r="D52" s="3">
        <v>49.566000000000003</v>
      </c>
      <c r="E52" s="3">
        <v>52.036000000000001</v>
      </c>
      <c r="F52" s="3">
        <v>65.158000000000001</v>
      </c>
      <c r="G52" s="3">
        <v>65.769000000000005</v>
      </c>
      <c r="H52" s="3">
        <v>65.575999999999993</v>
      </c>
      <c r="I52" s="3">
        <v>65.704999999999998</v>
      </c>
      <c r="J52" s="3">
        <v>65.534000000000006</v>
      </c>
      <c r="K52" s="3">
        <v>65.289000000000001</v>
      </c>
      <c r="L52" s="3">
        <v>63.62</v>
      </c>
    </row>
    <row r="53" spans="2:35" x14ac:dyDescent="0.2">
      <c r="B53" t="s">
        <v>99</v>
      </c>
      <c r="C53" s="3">
        <v>50.164000000000001</v>
      </c>
      <c r="D53" s="3">
        <v>230.03</v>
      </c>
      <c r="E53" s="3">
        <v>365.83499999999998</v>
      </c>
      <c r="F53" s="3">
        <v>351.92599999999999</v>
      </c>
      <c r="G53" s="3">
        <v>352.34100000000001</v>
      </c>
      <c r="H53" s="3">
        <v>352.75599999999997</v>
      </c>
      <c r="I53" s="3">
        <v>285.54899999999998</v>
      </c>
      <c r="J53" s="3">
        <v>279.01900000000001</v>
      </c>
      <c r="K53" s="3">
        <v>279.43400000000003</v>
      </c>
      <c r="L53" s="3">
        <v>279.84800000000001</v>
      </c>
    </row>
    <row r="54" spans="2:35" x14ac:dyDescent="0.2">
      <c r="B54" t="s">
        <v>39</v>
      </c>
      <c r="C54" s="3">
        <v>14.573</v>
      </c>
      <c r="D54" s="3">
        <v>17.678000000000001</v>
      </c>
      <c r="E54" s="3">
        <v>10.871</v>
      </c>
      <c r="F54" s="3">
        <v>10.093999999999999</v>
      </c>
      <c r="G54" s="3">
        <v>7.4210000000000003</v>
      </c>
      <c r="H54" s="3">
        <v>12.661</v>
      </c>
      <c r="I54" s="3">
        <v>9.2149999999999999</v>
      </c>
      <c r="J54" s="3">
        <v>13.063000000000001</v>
      </c>
      <c r="K54" s="3">
        <v>15.103999999999999</v>
      </c>
      <c r="L54" s="3">
        <v>16.148</v>
      </c>
    </row>
    <row r="55" spans="2:35" x14ac:dyDescent="0.2">
      <c r="B55" t="s">
        <v>44</v>
      </c>
      <c r="C55" s="3">
        <v>1.9950000000000001</v>
      </c>
      <c r="D55" s="3">
        <v>0.59499999999999997</v>
      </c>
      <c r="E55" s="3">
        <v>0.48799999999999999</v>
      </c>
      <c r="F55" s="3">
        <v>0.38</v>
      </c>
      <c r="G55" s="3">
        <v>0.28299999999999997</v>
      </c>
      <c r="H55" s="3">
        <v>0.18</v>
      </c>
      <c r="I55" s="3">
        <v>9.0999999999999998E-2</v>
      </c>
      <c r="J55" s="3">
        <v>0</v>
      </c>
      <c r="K55" s="3">
        <v>0</v>
      </c>
      <c r="L55" s="3">
        <v>1.6040000000000001</v>
      </c>
    </row>
    <row r="56" spans="2:35" x14ac:dyDescent="0.2">
      <c r="B56" t="s">
        <v>19</v>
      </c>
      <c r="C56" s="3">
        <v>258.53199999999998</v>
      </c>
      <c r="D56" s="3">
        <v>238.09100000000001</v>
      </c>
      <c r="E56" s="3">
        <v>302.03629999999998</v>
      </c>
      <c r="F56" s="3">
        <v>312.67700000000002</v>
      </c>
      <c r="G56" s="3">
        <v>383.32299999999998</v>
      </c>
      <c r="H56" s="3">
        <v>273.52499999999998</v>
      </c>
      <c r="I56" s="3">
        <v>394.73899999999998</v>
      </c>
      <c r="J56" s="3">
        <v>418.95699999999999</v>
      </c>
      <c r="K56" s="3">
        <v>557.85699999999997</v>
      </c>
      <c r="L56" s="3">
        <v>586.26900000000001</v>
      </c>
    </row>
    <row r="57" spans="2:35" x14ac:dyDescent="0.2">
      <c r="B57" t="s">
        <v>98</v>
      </c>
      <c r="C57" s="3">
        <f>43.912</f>
        <v>43.911999999999999</v>
      </c>
      <c r="D57" s="3">
        <f>39.179</f>
        <v>39.179000000000002</v>
      </c>
      <c r="E57" s="3">
        <f>43.184</f>
        <v>43.183999999999997</v>
      </c>
      <c r="F57" s="3">
        <f>43.321</f>
        <v>43.320999999999998</v>
      </c>
      <c r="G57" s="3">
        <f>41.177</f>
        <v>41.177</v>
      </c>
      <c r="H57" s="3">
        <f>34.065</f>
        <v>34.064999999999998</v>
      </c>
      <c r="I57" s="3">
        <f>36.869</f>
        <v>36.869</v>
      </c>
      <c r="J57" s="3">
        <f>62.029</f>
        <v>62.029000000000003</v>
      </c>
      <c r="K57" s="3">
        <v>64.158000000000001</v>
      </c>
      <c r="L57" s="3">
        <v>48.234999999999999</v>
      </c>
    </row>
    <row r="58" spans="2:35" x14ac:dyDescent="0.2">
      <c r="B58" t="s">
        <v>101</v>
      </c>
      <c r="C58" s="3">
        <f>15.927</f>
        <v>15.927</v>
      </c>
      <c r="D58" s="3">
        <f>16.017</f>
        <v>16.016999999999999</v>
      </c>
      <c r="E58" s="3">
        <f>17.173</f>
        <v>17.172999999999998</v>
      </c>
      <c r="F58" s="3">
        <f>14.395</f>
        <v>14.395</v>
      </c>
      <c r="G58" s="3">
        <f>14.116</f>
        <v>14.116</v>
      </c>
      <c r="H58" s="3">
        <f>14.122</f>
        <v>14.122</v>
      </c>
      <c r="I58" s="3">
        <f>14.423</f>
        <v>14.423</v>
      </c>
      <c r="J58" s="3">
        <f>13.923</f>
        <v>13.923</v>
      </c>
      <c r="K58" s="3">
        <v>14.436999999999999</v>
      </c>
      <c r="L58" s="3">
        <v>15.506</v>
      </c>
    </row>
    <row r="59" spans="2:35" x14ac:dyDescent="0.2">
      <c r="B59" t="s">
        <v>40</v>
      </c>
      <c r="C59" s="3">
        <v>44.915999999999997</v>
      </c>
      <c r="D59" s="3">
        <v>41.143999999999998</v>
      </c>
      <c r="E59" s="3">
        <v>44.356999999999999</v>
      </c>
      <c r="F59" s="3">
        <v>45.026000000000003</v>
      </c>
      <c r="G59" s="3">
        <v>50.863</v>
      </c>
      <c r="H59" s="3">
        <v>54.531999999999996</v>
      </c>
      <c r="I59" s="3">
        <v>57.94</v>
      </c>
      <c r="J59" s="3">
        <v>53.350999999999999</v>
      </c>
      <c r="K59" s="3">
        <v>50.564999999999998</v>
      </c>
      <c r="L59" s="3">
        <v>49.514000000000003</v>
      </c>
    </row>
    <row r="60" spans="2:35" s="5" customFormat="1" x14ac:dyDescent="0.2">
      <c r="B60" s="5" t="s">
        <v>41</v>
      </c>
      <c r="C60" s="6">
        <f t="shared" ref="C60:J60" si="48">SUM(C51:C59)</f>
        <v>536.98299999999995</v>
      </c>
      <c r="D60" s="6">
        <f t="shared" si="48"/>
        <v>686.51900000000012</v>
      </c>
      <c r="E60" s="6">
        <f t="shared" si="48"/>
        <v>895.89429999999993</v>
      </c>
      <c r="F60" s="6">
        <f t="shared" si="48"/>
        <v>909.08999999999992</v>
      </c>
      <c r="G60" s="6">
        <f t="shared" si="48"/>
        <v>979.62999999999988</v>
      </c>
      <c r="H60" s="6">
        <f t="shared" si="48"/>
        <v>868.65599999999995</v>
      </c>
      <c r="I60" s="6">
        <f t="shared" si="48"/>
        <v>925.37599999999998</v>
      </c>
      <c r="J60" s="6">
        <f t="shared" si="48"/>
        <v>967.26900000000001</v>
      </c>
      <c r="K60" s="6">
        <f>SUM(K51:K59)</f>
        <v>1106.1399999999999</v>
      </c>
      <c r="L60" s="6">
        <f>SUM(L51:L59)</f>
        <v>1120.9369999999999</v>
      </c>
      <c r="M60" s="6"/>
      <c r="N60" s="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:35" x14ac:dyDescent="0.2">
      <c r="B61" t="s">
        <v>42</v>
      </c>
      <c r="C61" s="3">
        <f t="shared" ref="C61:K61" si="49">+C50-C60</f>
        <v>3473.119999999999</v>
      </c>
      <c r="D61" s="3">
        <f t="shared" si="49"/>
        <v>3117.29</v>
      </c>
      <c r="E61" s="3">
        <f t="shared" si="49"/>
        <v>3306.3266999999996</v>
      </c>
      <c r="F61" s="3">
        <f t="shared" si="49"/>
        <v>3460.2809999999999</v>
      </c>
      <c r="G61" s="3">
        <f t="shared" si="49"/>
        <v>3676.6289999999999</v>
      </c>
      <c r="H61" s="3">
        <f t="shared" si="49"/>
        <v>3417.0350000000008</v>
      </c>
      <c r="I61" s="3">
        <f t="shared" si="49"/>
        <v>3751.7950000000001</v>
      </c>
      <c r="J61" s="3">
        <f t="shared" si="49"/>
        <v>4006.2150000000001</v>
      </c>
      <c r="K61" s="3">
        <f t="shared" si="49"/>
        <v>3933.2830000000008</v>
      </c>
      <c r="L61" s="3">
        <f t="shared" ref="L61" si="50">+L50-L60</f>
        <v>3678.7269999999999</v>
      </c>
    </row>
    <row r="62" spans="2:35" x14ac:dyDescent="0.2">
      <c r="B62" t="s">
        <v>43</v>
      </c>
      <c r="C62" s="3">
        <f t="shared" ref="C62:J62" si="51">+C61+C60</f>
        <v>4010.1029999999992</v>
      </c>
      <c r="D62" s="3">
        <f t="shared" si="51"/>
        <v>3803.8090000000002</v>
      </c>
      <c r="E62" s="3">
        <f t="shared" si="51"/>
        <v>4202.2209999999995</v>
      </c>
      <c r="F62" s="3">
        <f t="shared" si="51"/>
        <v>4369.3710000000001</v>
      </c>
      <c r="G62" s="3">
        <f t="shared" si="51"/>
        <v>4656.259</v>
      </c>
      <c r="H62" s="3">
        <f t="shared" si="51"/>
        <v>4285.6910000000007</v>
      </c>
      <c r="I62" s="3">
        <f t="shared" si="51"/>
        <v>4677.1710000000003</v>
      </c>
      <c r="J62" s="3">
        <f t="shared" si="51"/>
        <v>4973.4840000000004</v>
      </c>
      <c r="K62" s="3">
        <f>+K61+K60</f>
        <v>5039.4230000000007</v>
      </c>
      <c r="L62" s="3">
        <f>+L61+L60</f>
        <v>4799.6639999999998</v>
      </c>
    </row>
    <row r="64" spans="2:35" x14ac:dyDescent="0.2">
      <c r="B64" t="s">
        <v>95</v>
      </c>
      <c r="F64" s="3">
        <f t="shared" ref="F64:J64" si="52">+SUM(C29:F29)</f>
        <v>843.36099999999999</v>
      </c>
      <c r="G64" s="3">
        <f t="shared" si="52"/>
        <v>896.84800000000007</v>
      </c>
      <c r="H64" s="3">
        <f t="shared" si="52"/>
        <v>960.08900000000006</v>
      </c>
      <c r="I64" s="3">
        <f t="shared" si="52"/>
        <v>1011.5100000000002</v>
      </c>
      <c r="J64" s="3">
        <f t="shared" si="52"/>
        <v>1070.8670000000002</v>
      </c>
      <c r="K64" s="3">
        <f>+SUM(H29:K29)</f>
        <v>1088.8480000000002</v>
      </c>
      <c r="L64" s="3">
        <f>+SUM(I29:L29)</f>
        <v>1093.877</v>
      </c>
    </row>
    <row r="65" spans="2:35" s="9" customFormat="1" x14ac:dyDescent="0.2">
      <c r="B65" s="9" t="s">
        <v>97</v>
      </c>
      <c r="C65" s="10"/>
      <c r="D65" s="10"/>
      <c r="E65" s="10"/>
      <c r="F65" s="10">
        <f t="shared" ref="F65:J65" si="53">+F64/F61</f>
        <v>0.24372615981187656</v>
      </c>
      <c r="G65" s="10">
        <f t="shared" si="53"/>
        <v>0.24393214545171679</v>
      </c>
      <c r="H65" s="10">
        <f t="shared" si="53"/>
        <v>0.28097136845247411</v>
      </c>
      <c r="I65" s="10">
        <f t="shared" si="53"/>
        <v>0.26960694814082331</v>
      </c>
      <c r="J65" s="10">
        <f t="shared" si="53"/>
        <v>0.26730143040251214</v>
      </c>
      <c r="K65" s="10">
        <f>+K64/K61</f>
        <v>0.27682930518856641</v>
      </c>
      <c r="L65" s="10">
        <f>+L64/L61</f>
        <v>0.2973520459659007</v>
      </c>
      <c r="M65" s="10"/>
      <c r="N65" s="10"/>
    </row>
    <row r="66" spans="2:35" s="9" customFormat="1" x14ac:dyDescent="0.2">
      <c r="B66" s="9" t="s">
        <v>96</v>
      </c>
      <c r="C66" s="10"/>
      <c r="D66" s="10"/>
      <c r="E66" s="10"/>
      <c r="F66" s="10">
        <f t="shared" ref="F66:K66" si="54">+F64/F50</f>
        <v>0.19301656920412572</v>
      </c>
      <c r="G66" s="10">
        <f t="shared" si="54"/>
        <v>0.19261127871108547</v>
      </c>
      <c r="H66" s="10">
        <f t="shared" si="54"/>
        <v>0.22402198385277891</v>
      </c>
      <c r="I66" s="10">
        <f t="shared" si="54"/>
        <v>0.21626534501304318</v>
      </c>
      <c r="J66" s="10">
        <f t="shared" si="54"/>
        <v>0.21531525988622868</v>
      </c>
      <c r="K66" s="10">
        <f t="shared" si="54"/>
        <v>0.2160660059693342</v>
      </c>
      <c r="L66" s="10">
        <f t="shared" ref="L66" si="55">+L64/L50</f>
        <v>0.22790699515632762</v>
      </c>
      <c r="M66" s="10"/>
      <c r="N66" s="10"/>
    </row>
    <row r="67" spans="2:35" s="9" customFormat="1" x14ac:dyDescent="0.2">
      <c r="B67" s="9" t="s">
        <v>82</v>
      </c>
      <c r="C67" s="10"/>
      <c r="D67" s="10"/>
      <c r="E67" s="10"/>
      <c r="F67" s="10">
        <f t="shared" ref="F67:J67" si="56">+F64/(F41+F42+F43+F44+F45+F46+F47+F48)</f>
        <v>1.083236037952263</v>
      </c>
      <c r="G67" s="10">
        <f t="shared" si="56"/>
        <v>1.0447185014077551</v>
      </c>
      <c r="H67" s="10">
        <f t="shared" si="56"/>
        <v>1.183715313267109</v>
      </c>
      <c r="I67" s="10">
        <f t="shared" si="56"/>
        <v>1.1205967298618629</v>
      </c>
      <c r="J67" s="10">
        <f t="shared" si="56"/>
        <v>1.1281618265217328</v>
      </c>
      <c r="K67" s="10">
        <f>+K64/(K41+K42+K43+K44+K45+K46+K47+K48)</f>
        <v>0.98200311507093696</v>
      </c>
      <c r="L67" s="10">
        <f>+L64/(L41+L42+L43+L44+L45+L46+L47+L48)</f>
        <v>0.97646403503525558</v>
      </c>
      <c r="M67" s="10"/>
      <c r="N67" s="10"/>
    </row>
    <row r="69" spans="2:35" x14ac:dyDescent="0.2">
      <c r="B69" t="s">
        <v>45</v>
      </c>
      <c r="C69" s="3">
        <f t="shared" ref="C69:J69" si="57">+C29</f>
        <v>197.68899999999999</v>
      </c>
      <c r="D69" s="3">
        <f t="shared" si="57"/>
        <v>200.87299999999996</v>
      </c>
      <c r="E69" s="3">
        <f t="shared" si="57"/>
        <v>221.29699999999997</v>
      </c>
      <c r="F69" s="3">
        <f t="shared" si="57"/>
        <v>223.50200000000004</v>
      </c>
      <c r="G69" s="3">
        <f t="shared" si="57"/>
        <v>251.17600000000002</v>
      </c>
      <c r="H69" s="3">
        <f t="shared" si="57"/>
        <v>264.11400000000003</v>
      </c>
      <c r="I69" s="3">
        <f t="shared" si="57"/>
        <v>272.71800000000002</v>
      </c>
      <c r="J69" s="3">
        <f t="shared" si="57"/>
        <v>282.85900000000004</v>
      </c>
      <c r="K69" s="3">
        <f>+K29</f>
        <v>269.15699999999998</v>
      </c>
      <c r="L69" s="3">
        <f>+L29</f>
        <v>269.14299999999997</v>
      </c>
    </row>
    <row r="70" spans="2:35" x14ac:dyDescent="0.2">
      <c r="B70" t="s">
        <v>46</v>
      </c>
      <c r="C70" s="3">
        <v>207.08500000000001</v>
      </c>
      <c r="D70" s="3">
        <v>214.58</v>
      </c>
      <c r="E70" s="3">
        <v>236.393</v>
      </c>
      <c r="F70" s="3">
        <v>250.00399999999999</v>
      </c>
      <c r="G70" s="3">
        <v>271.48</v>
      </c>
      <c r="H70" s="3">
        <v>281.51499999999999</v>
      </c>
      <c r="I70" s="3">
        <v>287.137</v>
      </c>
      <c r="J70" s="3">
        <v>302.59800000000001</v>
      </c>
      <c r="K70" s="3">
        <v>311.61099999999999</v>
      </c>
      <c r="L70" s="3">
        <v>311.12900000000002</v>
      </c>
    </row>
    <row r="71" spans="2:35" x14ac:dyDescent="0.2">
      <c r="B71" t="s">
        <v>13</v>
      </c>
      <c r="C71" s="3">
        <v>22.593</v>
      </c>
      <c r="D71" s="3">
        <v>23.638000000000002</v>
      </c>
      <c r="E71" s="3">
        <v>24.622</v>
      </c>
      <c r="F71" s="3">
        <v>29.524999999999999</v>
      </c>
      <c r="G71" s="3">
        <v>28.678000000000001</v>
      </c>
      <c r="H71" s="3">
        <v>30.178000000000001</v>
      </c>
      <c r="I71" s="3">
        <v>31.462</v>
      </c>
      <c r="J71" s="3">
        <v>34.365000000000002</v>
      </c>
      <c r="K71" s="3">
        <v>34.174999999999997</v>
      </c>
      <c r="L71" s="3">
        <v>34.637999999999998</v>
      </c>
    </row>
    <row r="72" spans="2:35" x14ac:dyDescent="0.2">
      <c r="B72" t="s">
        <v>44</v>
      </c>
      <c r="C72" s="3">
        <v>-0.14199999999999999</v>
      </c>
      <c r="D72" s="3">
        <v>-1.2769999999999999</v>
      </c>
      <c r="E72" s="3">
        <v>8.9999999999999993E-3</v>
      </c>
      <c r="F72" s="3">
        <v>8.9999999999999993E-3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</row>
    <row r="73" spans="2:35" x14ac:dyDescent="0.2">
      <c r="B73" t="s">
        <v>14</v>
      </c>
      <c r="C73" s="3">
        <v>1.649</v>
      </c>
      <c r="D73" s="3">
        <v>-1.42</v>
      </c>
      <c r="E73" s="3">
        <v>-1.113</v>
      </c>
      <c r="F73" s="3">
        <v>-2.5230000000000001</v>
      </c>
      <c r="G73" s="3">
        <v>-0.35399999999999998</v>
      </c>
      <c r="H73" s="3">
        <v>0.32100000000000001</v>
      </c>
      <c r="I73" s="3">
        <v>2.2970000000000002</v>
      </c>
      <c r="J73" s="3">
        <v>-1.129</v>
      </c>
      <c r="K73" s="3">
        <v>-0.14199999999999999</v>
      </c>
      <c r="L73" s="3">
        <v>0.84199999999999997</v>
      </c>
    </row>
    <row r="74" spans="2:35" x14ac:dyDescent="0.2">
      <c r="B74" t="s">
        <v>47</v>
      </c>
      <c r="C74" s="3">
        <v>4.7E-2</v>
      </c>
      <c r="D74" s="3">
        <v>4.8000000000000001E-2</v>
      </c>
      <c r="E74" s="3">
        <v>4.2000000000000003E-2</v>
      </c>
      <c r="F74" s="3">
        <v>0.22</v>
      </c>
      <c r="G74" s="3">
        <v>1.4219999999999999</v>
      </c>
      <c r="H74" s="3">
        <v>1.0620000000000001</v>
      </c>
      <c r="I74" s="3">
        <v>4.452</v>
      </c>
      <c r="J74" s="3">
        <v>7.3719999999999999</v>
      </c>
      <c r="K74" s="3">
        <v>7.0069999999999997</v>
      </c>
      <c r="L74" s="3">
        <v>6.32</v>
      </c>
    </row>
    <row r="75" spans="2:35" x14ac:dyDescent="0.2">
      <c r="B75" t="s">
        <v>48</v>
      </c>
      <c r="C75" s="3">
        <v>-0.624</v>
      </c>
      <c r="D75" s="3">
        <v>-0.29799999999999999</v>
      </c>
      <c r="E75" s="3">
        <v>-0.27100000000000002</v>
      </c>
      <c r="F75" s="3">
        <v>-0.106</v>
      </c>
      <c r="G75" s="3">
        <v>-0.59099999999999997</v>
      </c>
      <c r="H75" s="3">
        <v>0.14299999999999999</v>
      </c>
      <c r="I75" s="3">
        <v>0.432</v>
      </c>
      <c r="J75" s="3">
        <v>-2.3E-2</v>
      </c>
      <c r="K75" s="3">
        <v>-0.68799999999999994</v>
      </c>
      <c r="L75" s="3">
        <v>0.54500000000000004</v>
      </c>
    </row>
    <row r="76" spans="2:35" x14ac:dyDescent="0.2">
      <c r="B76" t="s">
        <v>19</v>
      </c>
      <c r="C76" s="3">
        <v>-3.8410000000000002</v>
      </c>
      <c r="D76" s="3">
        <v>-33.609000000000002</v>
      </c>
      <c r="E76" s="3">
        <v>-4.0880000000000001</v>
      </c>
      <c r="F76" s="3">
        <v>-5.5620000000000003</v>
      </c>
      <c r="G76" s="3">
        <v>-16.058</v>
      </c>
      <c r="H76" s="3">
        <v>-55.097999999999999</v>
      </c>
      <c r="I76" s="3">
        <v>25.446999999999999</v>
      </c>
      <c r="J76" s="3">
        <v>-4.0629999999999997</v>
      </c>
      <c r="K76" s="3">
        <v>-5.9580000000000002</v>
      </c>
      <c r="L76" s="3">
        <v>-63.168999999999997</v>
      </c>
    </row>
    <row r="77" spans="2:35" x14ac:dyDescent="0.2">
      <c r="B77" t="s">
        <v>50</v>
      </c>
      <c r="C77" s="3">
        <f>+-33.464+5.936-4.897</f>
        <v>-32.424999999999997</v>
      </c>
      <c r="D77" s="3">
        <f>+-10.272+2.956-8.811</f>
        <v>-16.127000000000002</v>
      </c>
      <c r="E77" s="3">
        <f>+-15.655-7.12+4.219</f>
        <v>-18.555999999999997</v>
      </c>
      <c r="F77" s="3">
        <f>+-12.684-0.574+2.241</f>
        <v>-11.016999999999999</v>
      </c>
      <c r="G77" s="3">
        <f>+-11.119-2.656+6.547</f>
        <v>-7.2280000000000006</v>
      </c>
      <c r="H77" s="3">
        <f>+-28.512+5.209-1.011</f>
        <v>-24.314</v>
      </c>
      <c r="I77" s="3">
        <f>+-10.283-3.441+5.373</f>
        <v>-8.3509999999999991</v>
      </c>
      <c r="J77" s="3">
        <f>+-22.456+3.932+-6.181</f>
        <v>-24.705000000000002</v>
      </c>
      <c r="K77" s="3">
        <f>-48.283+1.967+2.125</f>
        <v>-44.191000000000003</v>
      </c>
      <c r="L77" s="3">
        <f>38.929+0.952-17.413</f>
        <v>22.468</v>
      </c>
    </row>
    <row r="78" spans="2:35" s="5" customFormat="1" x14ac:dyDescent="0.2">
      <c r="B78" s="5" t="s">
        <v>49</v>
      </c>
      <c r="C78" s="6">
        <f t="shared" ref="C78:L78" si="58">SUM(C70:C77)</f>
        <v>194.34199999999998</v>
      </c>
      <c r="D78" s="6">
        <f t="shared" si="58"/>
        <v>185.53500000000003</v>
      </c>
      <c r="E78" s="6">
        <f t="shared" si="58"/>
        <v>237.03799999999995</v>
      </c>
      <c r="F78" s="6">
        <f t="shared" si="58"/>
        <v>260.55</v>
      </c>
      <c r="G78" s="6">
        <f t="shared" si="58"/>
        <v>277.34900000000005</v>
      </c>
      <c r="H78" s="6">
        <f t="shared" si="58"/>
        <v>233.80699999999999</v>
      </c>
      <c r="I78" s="6">
        <f t="shared" si="58"/>
        <v>342.87600000000003</v>
      </c>
      <c r="J78" s="6">
        <f t="shared" si="58"/>
        <v>314.41500000000002</v>
      </c>
      <c r="K78" s="6">
        <f t="shared" si="58"/>
        <v>301.81399999999996</v>
      </c>
      <c r="L78" s="6">
        <f t="shared" si="58"/>
        <v>312.77300000000002</v>
      </c>
      <c r="M78" s="6"/>
      <c r="N78" s="6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80" spans="2:35" x14ac:dyDescent="0.2">
      <c r="B80" t="s">
        <v>61</v>
      </c>
      <c r="C80" s="3">
        <f>+-7.135-14.016</f>
        <v>-21.151</v>
      </c>
      <c r="D80" s="3">
        <f>+-9.629-14.796</f>
        <v>-24.424999999999997</v>
      </c>
      <c r="E80" s="3">
        <f>+-9.555-13.866</f>
        <v>-23.420999999999999</v>
      </c>
      <c r="F80" s="3">
        <f>+-9.959-17.983</f>
        <v>-27.942</v>
      </c>
      <c r="G80" s="3">
        <f>+-10.664-11.477</f>
        <v>-22.140999999999998</v>
      </c>
      <c r="H80" s="3">
        <f>+-12.149-10.629</f>
        <v>-22.777999999999999</v>
      </c>
      <c r="I80" s="3">
        <f>+-10.991-7.972</f>
        <v>-18.963000000000001</v>
      </c>
      <c r="J80" s="3">
        <f>+-18.169+-12.141</f>
        <v>-30.310000000000002</v>
      </c>
      <c r="K80" s="3">
        <f>+-17.08-19.345</f>
        <v>-36.424999999999997</v>
      </c>
      <c r="L80" s="3">
        <f>-16.392-16.153</f>
        <v>-32.545000000000002</v>
      </c>
    </row>
    <row r="81" spans="2:35" x14ac:dyDescent="0.2">
      <c r="B81" t="s">
        <v>51</v>
      </c>
      <c r="C81" s="3">
        <v>-74.084999999999994</v>
      </c>
      <c r="D81" s="3">
        <v>0</v>
      </c>
      <c r="E81" s="3">
        <v>-184.72900000000001</v>
      </c>
      <c r="F81" s="3">
        <v>-14.321999999999999</v>
      </c>
      <c r="G81" s="3">
        <v>0</v>
      </c>
      <c r="H81" s="3">
        <v>0</v>
      </c>
      <c r="I81" s="3">
        <v>-47.536000000000001</v>
      </c>
      <c r="J81" s="3">
        <v>0</v>
      </c>
      <c r="K81" s="3">
        <v>0</v>
      </c>
      <c r="L81" s="3">
        <v>-4.3280000000000003</v>
      </c>
    </row>
    <row r="82" spans="2:35" x14ac:dyDescent="0.2">
      <c r="B82" t="s">
        <v>52</v>
      </c>
      <c r="C82" s="3">
        <v>-0.90400000000000003</v>
      </c>
      <c r="D82" s="3">
        <v>2.419</v>
      </c>
      <c r="E82" s="3">
        <v>1.2629999999999999</v>
      </c>
      <c r="F82" s="3">
        <v>0.53900000000000003</v>
      </c>
      <c r="G82" s="3">
        <v>0.42599999999999999</v>
      </c>
      <c r="H82" s="3">
        <v>1.022</v>
      </c>
      <c r="I82" s="3">
        <v>-0.19500000000000001</v>
      </c>
      <c r="J82" s="3">
        <v>1.117</v>
      </c>
      <c r="K82" s="3">
        <v>-6.3159999999999998</v>
      </c>
      <c r="L82" s="3">
        <v>1.5329999999999999</v>
      </c>
    </row>
    <row r="83" spans="2:35" s="5" customFormat="1" x14ac:dyDescent="0.2">
      <c r="B83" s="5" t="s">
        <v>53</v>
      </c>
      <c r="C83" s="6">
        <f t="shared" ref="C83:L83" si="59">SUM(C80:C82)</f>
        <v>-96.139999999999986</v>
      </c>
      <c r="D83" s="6">
        <f t="shared" si="59"/>
        <v>-22.005999999999997</v>
      </c>
      <c r="E83" s="6">
        <f t="shared" si="59"/>
        <v>-206.887</v>
      </c>
      <c r="F83" s="6">
        <f t="shared" si="59"/>
        <v>-41.724999999999994</v>
      </c>
      <c r="G83" s="6">
        <f t="shared" si="59"/>
        <v>-21.715</v>
      </c>
      <c r="H83" s="6">
        <f t="shared" si="59"/>
        <v>-21.756</v>
      </c>
      <c r="I83" s="6">
        <f t="shared" si="59"/>
        <v>-66.693999999999988</v>
      </c>
      <c r="J83" s="6">
        <f t="shared" si="59"/>
        <v>-29.193000000000001</v>
      </c>
      <c r="K83" s="6">
        <f t="shared" si="59"/>
        <v>-42.741</v>
      </c>
      <c r="L83" s="6">
        <f t="shared" si="59"/>
        <v>-35.340000000000003</v>
      </c>
      <c r="M83" s="6"/>
      <c r="N83" s="6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5" spans="2:35" x14ac:dyDescent="0.2">
      <c r="B85" t="s">
        <v>33</v>
      </c>
      <c r="C85" s="3">
        <v>-3.48</v>
      </c>
      <c r="D85" s="3">
        <v>-3.7210000000000001</v>
      </c>
      <c r="E85" s="3">
        <v>-4.9800000000000004</v>
      </c>
      <c r="F85" s="3">
        <v>-1.964</v>
      </c>
      <c r="G85" s="3">
        <v>-3.8980000000000001</v>
      </c>
      <c r="H85" s="3">
        <v>3.839</v>
      </c>
      <c r="I85" s="3">
        <v>-5.0759999999999996</v>
      </c>
      <c r="J85" s="3">
        <v>-6.0940000000000003</v>
      </c>
      <c r="K85" s="3">
        <v>-4.3979999999999997</v>
      </c>
      <c r="L85" s="3">
        <v>-3.4169999999999998</v>
      </c>
    </row>
    <row r="86" spans="2:35" x14ac:dyDescent="0.2">
      <c r="B86" t="s">
        <v>54</v>
      </c>
      <c r="C86" s="3">
        <v>-75.590999999999994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-115.758</v>
      </c>
      <c r="K86" s="3">
        <v>-284.03300000000002</v>
      </c>
      <c r="L86" s="3">
        <v>0</v>
      </c>
    </row>
    <row r="87" spans="2:35" x14ac:dyDescent="0.2">
      <c r="B87" t="s">
        <v>55</v>
      </c>
      <c r="C87" s="3">
        <v>-1.0129999999999999</v>
      </c>
      <c r="D87" s="3">
        <v>-0.23599999999999999</v>
      </c>
      <c r="E87" s="3">
        <v>-0.16600000000000001</v>
      </c>
      <c r="F87" s="3">
        <v>-0.29899999999999999</v>
      </c>
      <c r="G87" s="3">
        <v>-56.689</v>
      </c>
      <c r="H87" s="3" t="s">
        <v>80</v>
      </c>
      <c r="I87" s="3" t="s">
        <v>81</v>
      </c>
      <c r="J87" s="3">
        <v>9.6869999999999994</v>
      </c>
      <c r="K87" s="3">
        <v>-59.319000000000003</v>
      </c>
      <c r="L87" s="3">
        <v>-0.126</v>
      </c>
    </row>
    <row r="88" spans="2:35" x14ac:dyDescent="0.2">
      <c r="B88" t="s">
        <v>56</v>
      </c>
      <c r="C88" s="3">
        <v>0</v>
      </c>
      <c r="D88" s="3">
        <v>0</v>
      </c>
      <c r="E88" s="3">
        <v>0</v>
      </c>
      <c r="F88" s="3">
        <v>0</v>
      </c>
      <c r="G88" s="3">
        <v>32.701999999999998</v>
      </c>
      <c r="H88" s="3">
        <v>3.0470000000000002</v>
      </c>
      <c r="I88" s="3">
        <v>0</v>
      </c>
      <c r="J88" s="3">
        <v>0</v>
      </c>
      <c r="K88" s="3">
        <v>76.988</v>
      </c>
      <c r="L88" s="3">
        <v>1.9E-2</v>
      </c>
    </row>
    <row r="89" spans="2:35" x14ac:dyDescent="0.2">
      <c r="B89" t="s">
        <v>57</v>
      </c>
      <c r="C89" s="3">
        <v>0</v>
      </c>
      <c r="D89" s="3">
        <v>-302.75099999999998</v>
      </c>
      <c r="E89" s="3">
        <v>0</v>
      </c>
      <c r="F89" s="3">
        <v>0</v>
      </c>
      <c r="G89" s="3">
        <v>0</v>
      </c>
      <c r="H89" s="3">
        <v>-427.39800000000002</v>
      </c>
      <c r="I89" s="3">
        <v>0</v>
      </c>
      <c r="J89" s="3">
        <v>0</v>
      </c>
      <c r="K89" s="3">
        <v>0</v>
      </c>
      <c r="L89" s="3">
        <v>-559.26599999999996</v>
      </c>
    </row>
    <row r="90" spans="2:35" s="5" customFormat="1" x14ac:dyDescent="0.2">
      <c r="B90" s="5" t="s">
        <v>58</v>
      </c>
      <c r="C90" s="6">
        <f t="shared" ref="C90:L90" si="60">SUM(C85:C89)</f>
        <v>-80.084000000000003</v>
      </c>
      <c r="D90" s="6">
        <f t="shared" si="60"/>
        <v>-306.70799999999997</v>
      </c>
      <c r="E90" s="6">
        <f t="shared" si="60"/>
        <v>-5.1460000000000008</v>
      </c>
      <c r="F90" s="6">
        <f t="shared" si="60"/>
        <v>-2.2629999999999999</v>
      </c>
      <c r="G90" s="6">
        <f t="shared" si="60"/>
        <v>-27.885000000000005</v>
      </c>
      <c r="H90" s="6">
        <f t="shared" si="60"/>
        <v>-420.512</v>
      </c>
      <c r="I90" s="6">
        <f t="shared" si="60"/>
        <v>-5.0759999999999996</v>
      </c>
      <c r="J90" s="6">
        <f t="shared" si="60"/>
        <v>-112.16499999999999</v>
      </c>
      <c r="K90" s="6">
        <f t="shared" si="60"/>
        <v>-270.76200000000006</v>
      </c>
      <c r="L90" s="6">
        <f t="shared" si="60"/>
        <v>-562.79</v>
      </c>
      <c r="M90" s="6"/>
      <c r="N90" s="6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2" spans="2:35" x14ac:dyDescent="0.2">
      <c r="B92" t="s">
        <v>59</v>
      </c>
      <c r="C92" s="3">
        <v>-3.4000000000000002E-2</v>
      </c>
      <c r="D92" s="3">
        <v>2.4159999999999999</v>
      </c>
      <c r="E92" s="3">
        <v>0.746</v>
      </c>
      <c r="F92" s="3">
        <v>-3.6739999999999999</v>
      </c>
      <c r="G92" s="3">
        <v>-0.56699999999999995</v>
      </c>
      <c r="H92" s="3">
        <v>-0.94599999999999995</v>
      </c>
      <c r="I92" s="3">
        <v>0.748</v>
      </c>
      <c r="J92" s="3">
        <v>-0.621</v>
      </c>
      <c r="K92" s="3">
        <v>5.8000000000000003E-2</v>
      </c>
      <c r="L92" s="3">
        <v>-0.81</v>
      </c>
    </row>
    <row r="93" spans="2:35" x14ac:dyDescent="0.2">
      <c r="B93" t="s">
        <v>60</v>
      </c>
      <c r="C93" s="3">
        <f t="shared" ref="C93:L93" si="61">+C78+C83+C90+C92</f>
        <v>18.083999999999996</v>
      </c>
      <c r="D93" s="3">
        <f t="shared" si="61"/>
        <v>-140.76299999999995</v>
      </c>
      <c r="E93" s="3">
        <f t="shared" si="61"/>
        <v>25.750999999999951</v>
      </c>
      <c r="F93" s="3">
        <f t="shared" si="61"/>
        <v>212.88800000000001</v>
      </c>
      <c r="G93" s="3">
        <f t="shared" si="61"/>
        <v>227.18200000000002</v>
      </c>
      <c r="H93" s="3">
        <f t="shared" si="61"/>
        <v>-209.40700000000001</v>
      </c>
      <c r="I93" s="3">
        <f t="shared" si="61"/>
        <v>271.85399999999998</v>
      </c>
      <c r="J93" s="3">
        <f t="shared" si="61"/>
        <v>172.43600000000004</v>
      </c>
      <c r="K93" s="3">
        <f t="shared" si="61"/>
        <v>-11.631000000000078</v>
      </c>
      <c r="L93" s="3">
        <f>+L78+L83+L90+L92</f>
        <v>-286.16699999999997</v>
      </c>
    </row>
    <row r="95" spans="2:35" x14ac:dyDescent="0.2">
      <c r="B95" t="s">
        <v>62</v>
      </c>
      <c r="C95" s="3">
        <f t="shared" ref="C95:J95" si="62">+C78+C80</f>
        <v>173.19099999999997</v>
      </c>
      <c r="D95" s="3">
        <f t="shared" si="62"/>
        <v>161.11000000000001</v>
      </c>
      <c r="E95" s="3">
        <f t="shared" si="62"/>
        <v>213.61699999999996</v>
      </c>
      <c r="F95" s="3">
        <f t="shared" si="62"/>
        <v>232.608</v>
      </c>
      <c r="G95" s="3">
        <f t="shared" si="62"/>
        <v>255.20800000000006</v>
      </c>
      <c r="H95" s="3">
        <f t="shared" si="62"/>
        <v>211.029</v>
      </c>
      <c r="I95" s="3">
        <f t="shared" si="62"/>
        <v>323.91300000000001</v>
      </c>
      <c r="J95" s="3">
        <f t="shared" si="62"/>
        <v>284.10500000000002</v>
      </c>
      <c r="K95" s="3">
        <f t="shared" ref="K95:L95" si="63">+K78+K80</f>
        <v>265.38899999999995</v>
      </c>
      <c r="L95" s="3">
        <f t="shared" si="63"/>
        <v>280.22800000000001</v>
      </c>
    </row>
    <row r="96" spans="2:35" x14ac:dyDescent="0.2">
      <c r="B96" t="s">
        <v>63</v>
      </c>
      <c r="C96" s="3">
        <f t="shared" ref="C96:J96" si="64">+C78+C80+C86</f>
        <v>97.59999999999998</v>
      </c>
      <c r="D96" s="3">
        <f t="shared" si="64"/>
        <v>161.11000000000001</v>
      </c>
      <c r="E96" s="3">
        <f t="shared" si="64"/>
        <v>213.61699999999996</v>
      </c>
      <c r="F96" s="3">
        <f t="shared" si="64"/>
        <v>232.608</v>
      </c>
      <c r="G96" s="3">
        <f t="shared" si="64"/>
        <v>255.20800000000006</v>
      </c>
      <c r="H96" s="3">
        <f t="shared" si="64"/>
        <v>211.029</v>
      </c>
      <c r="I96" s="3">
        <f t="shared" si="64"/>
        <v>323.91300000000001</v>
      </c>
      <c r="J96" s="3">
        <f t="shared" si="64"/>
        <v>168.34700000000004</v>
      </c>
      <c r="K96" s="3">
        <f t="shared" ref="K96:L96" si="65">+K78+K80+K86</f>
        <v>-18.644000000000062</v>
      </c>
      <c r="L96" s="3">
        <f t="shared" si="65"/>
        <v>280.22800000000001</v>
      </c>
    </row>
    <row r="97" spans="2:14" x14ac:dyDescent="0.2">
      <c r="B97" t="s">
        <v>64</v>
      </c>
      <c r="C97" s="3">
        <f t="shared" ref="C97:J97" si="66">+C78+C80+C86+C89</f>
        <v>97.59999999999998</v>
      </c>
      <c r="D97" s="3">
        <f t="shared" si="66"/>
        <v>-141.64099999999996</v>
      </c>
      <c r="E97" s="3">
        <f t="shared" si="66"/>
        <v>213.61699999999996</v>
      </c>
      <c r="F97" s="3">
        <f t="shared" si="66"/>
        <v>232.608</v>
      </c>
      <c r="G97" s="3">
        <f t="shared" si="66"/>
        <v>255.20800000000006</v>
      </c>
      <c r="H97" s="3">
        <f t="shared" si="66"/>
        <v>-216.36900000000003</v>
      </c>
      <c r="I97" s="3">
        <f t="shared" si="66"/>
        <v>323.91300000000001</v>
      </c>
      <c r="J97" s="3">
        <f t="shared" si="66"/>
        <v>168.34700000000004</v>
      </c>
      <c r="K97" s="3">
        <f t="shared" ref="K97:L97" si="67">+K78+K80+K86+K89</f>
        <v>-18.644000000000062</v>
      </c>
      <c r="L97" s="3">
        <f>+L78+L80+L86+L89</f>
        <v>-279.03799999999995</v>
      </c>
    </row>
    <row r="99" spans="2:14" s="17" customFormat="1" x14ac:dyDescent="0.2">
      <c r="B99" s="17" t="s">
        <v>102</v>
      </c>
      <c r="C99" s="18"/>
      <c r="D99" s="18"/>
      <c r="E99" s="18"/>
      <c r="F99" s="18"/>
      <c r="G99" s="18">
        <v>12.374000000000001</v>
      </c>
      <c r="H99" s="18">
        <v>12.75</v>
      </c>
      <c r="I99" s="18"/>
      <c r="J99" s="18"/>
      <c r="K99" s="18">
        <v>15.547000000000001</v>
      </c>
      <c r="L99" s="18">
        <v>15.395</v>
      </c>
      <c r="M99" s="18"/>
      <c r="N9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2024-03-22T18:40:30Z</dcterms:created>
  <dcterms:modified xsi:type="dcterms:W3CDTF">2024-07-23T08:16:25Z</dcterms:modified>
</cp:coreProperties>
</file>