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nni\Desktop\CompanyResearchModels\Travel Service\"/>
    </mc:Choice>
  </mc:AlternateContent>
  <xr:revisionPtr revIDLastSave="0" documentId="13_ncr:1_{4C36F96F-2562-417C-A719-8EF3C49DB400}" xr6:coauthVersionLast="47" xr6:coauthVersionMax="47" xr10:uidLastSave="{00000000-0000-0000-0000-000000000000}"/>
  <bookViews>
    <workbookView xWindow="285" yWindow="75" windowWidth="14415" windowHeight="15300" activeTab="1" xr2:uid="{0453585A-7DB5-40A0-BBC4-E802793A539C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1" i="1" l="1"/>
  <c r="Y11" i="2"/>
  <c r="Y8" i="2"/>
  <c r="Y7" i="2"/>
  <c r="Y22" i="2" s="1"/>
  <c r="Y12" i="2" l="1"/>
  <c r="Y23" i="2" l="1"/>
  <c r="Y16" i="2"/>
  <c r="Y25" i="2" l="1"/>
  <c r="Y18" i="2"/>
  <c r="Y24" i="2" l="1"/>
  <c r="Y19" i="2"/>
  <c r="N91" i="2" l="1"/>
  <c r="M55" i="2"/>
  <c r="L55" i="2"/>
  <c r="K55" i="2"/>
  <c r="N55" i="2"/>
  <c r="N54" i="2"/>
  <c r="O90" i="2"/>
  <c r="M90" i="2"/>
  <c r="L90" i="2"/>
  <c r="K90" i="2"/>
  <c r="N90" i="2"/>
  <c r="N88" i="2"/>
  <c r="N87" i="2"/>
  <c r="M87" i="2"/>
  <c r="L87" i="2"/>
  <c r="K87" i="2"/>
  <c r="O87" i="2"/>
  <c r="N84" i="2"/>
  <c r="N81" i="2"/>
  <c r="N80" i="2"/>
  <c r="N79" i="2"/>
  <c r="N76" i="2"/>
  <c r="N75" i="2"/>
  <c r="N74" i="2"/>
  <c r="N70" i="2"/>
  <c r="N69" i="2"/>
  <c r="N68" i="2"/>
  <c r="N67" i="2"/>
  <c r="N66" i="2"/>
  <c r="N65" i="2"/>
  <c r="N64" i="2"/>
  <c r="N63" i="2"/>
  <c r="N62" i="2"/>
  <c r="N61" i="2"/>
  <c r="N59" i="2"/>
  <c r="N60" i="2"/>
  <c r="N58" i="2"/>
  <c r="N57" i="2"/>
  <c r="M84" i="2"/>
  <c r="M81" i="2"/>
  <c r="M80" i="2"/>
  <c r="M79" i="2"/>
  <c r="M76" i="2"/>
  <c r="M75" i="2"/>
  <c r="M74" i="2"/>
  <c r="M70" i="2"/>
  <c r="M69" i="2"/>
  <c r="M68" i="2"/>
  <c r="M67" i="2"/>
  <c r="M66" i="2"/>
  <c r="M65" i="2"/>
  <c r="M64" i="2"/>
  <c r="M63" i="2"/>
  <c r="M62" i="2"/>
  <c r="M61" i="2"/>
  <c r="M60" i="2"/>
  <c r="M59" i="2"/>
  <c r="M58" i="2"/>
  <c r="M57" i="2"/>
  <c r="L49" i="2"/>
  <c r="K49" i="2"/>
  <c r="M43" i="2"/>
  <c r="M42" i="2"/>
  <c r="M40" i="2"/>
  <c r="M41" i="2" s="1"/>
  <c r="M33" i="2"/>
  <c r="M32" i="2" s="1"/>
  <c r="M30" i="2"/>
  <c r="L30" i="2"/>
  <c r="K30" i="2"/>
  <c r="J30" i="2"/>
  <c r="I30" i="2"/>
  <c r="H30" i="2"/>
  <c r="G30" i="2"/>
  <c r="M29" i="2"/>
  <c r="L29" i="2"/>
  <c r="K29" i="2"/>
  <c r="J29" i="2"/>
  <c r="I29" i="2"/>
  <c r="H29" i="2"/>
  <c r="G29" i="2"/>
  <c r="M28" i="2"/>
  <c r="L28" i="2"/>
  <c r="K28" i="2"/>
  <c r="J28" i="2"/>
  <c r="I28" i="2"/>
  <c r="H28" i="2"/>
  <c r="G28" i="2"/>
  <c r="M27" i="2"/>
  <c r="L27" i="2"/>
  <c r="K27" i="2"/>
  <c r="J27" i="2"/>
  <c r="I27" i="2"/>
  <c r="H27" i="2"/>
  <c r="G27" i="2"/>
  <c r="M11" i="2"/>
  <c r="M7" i="2"/>
  <c r="M22" i="2" s="1"/>
  <c r="L84" i="2"/>
  <c r="L82" i="2"/>
  <c r="L81" i="2"/>
  <c r="L80" i="2"/>
  <c r="L79" i="2"/>
  <c r="L76" i="2"/>
  <c r="L75" i="2"/>
  <c r="L74" i="2"/>
  <c r="L77" i="2" s="1"/>
  <c r="L70" i="2"/>
  <c r="L69" i="2"/>
  <c r="L68" i="2"/>
  <c r="L67" i="2"/>
  <c r="L71" i="2" s="1"/>
  <c r="L72" i="2" s="1"/>
  <c r="L85" i="2" s="1"/>
  <c r="L66" i="2"/>
  <c r="L65" i="2"/>
  <c r="L64" i="2"/>
  <c r="L63" i="2"/>
  <c r="L62" i="2"/>
  <c r="L61" i="2"/>
  <c r="L60" i="2"/>
  <c r="L59" i="2"/>
  <c r="L58" i="2"/>
  <c r="L43" i="2"/>
  <c r="L42" i="2"/>
  <c r="L40" i="2"/>
  <c r="L33" i="2"/>
  <c r="L32" i="2" s="1"/>
  <c r="L11" i="2"/>
  <c r="L7" i="2"/>
  <c r="K43" i="2"/>
  <c r="K42" i="2"/>
  <c r="K40" i="2"/>
  <c r="K33" i="2"/>
  <c r="F11" i="2"/>
  <c r="F7" i="2"/>
  <c r="E11" i="2"/>
  <c r="E7" i="2"/>
  <c r="E22" i="2" s="1"/>
  <c r="I11" i="2"/>
  <c r="I7" i="2"/>
  <c r="D11" i="2"/>
  <c r="D7" i="2"/>
  <c r="D22" i="2" s="1"/>
  <c r="H11" i="2"/>
  <c r="H7" i="2"/>
  <c r="C11" i="2"/>
  <c r="C7" i="2"/>
  <c r="C22" i="2" s="1"/>
  <c r="G11" i="2"/>
  <c r="G7" i="2"/>
  <c r="G22" i="2" s="1"/>
  <c r="N30" i="2"/>
  <c r="N29" i="2"/>
  <c r="N27" i="2"/>
  <c r="J8" i="2"/>
  <c r="J7" i="2"/>
  <c r="J22" i="2" s="1"/>
  <c r="J11" i="2"/>
  <c r="N8" i="2"/>
  <c r="N11" i="2" s="1"/>
  <c r="N7" i="2"/>
  <c r="N22" i="2" s="1"/>
  <c r="O30" i="2"/>
  <c r="O29" i="2"/>
  <c r="O28" i="2"/>
  <c r="O27" i="2"/>
  <c r="K68" i="2"/>
  <c r="K59" i="2"/>
  <c r="K82" i="2"/>
  <c r="K77" i="2"/>
  <c r="K71" i="2"/>
  <c r="K72" i="2" s="1"/>
  <c r="O82" i="2"/>
  <c r="O75" i="2"/>
  <c r="O77" i="2" s="1"/>
  <c r="O68" i="2"/>
  <c r="O71" i="2" s="1"/>
  <c r="O72" i="2" s="1"/>
  <c r="O85" i="2" s="1"/>
  <c r="O59" i="2"/>
  <c r="N44" i="2"/>
  <c r="N43" i="2"/>
  <c r="N42" i="2"/>
  <c r="N40" i="2"/>
  <c r="N33" i="2"/>
  <c r="N32" i="2"/>
  <c r="O44" i="2"/>
  <c r="O43" i="2"/>
  <c r="O42" i="2"/>
  <c r="O40" i="2"/>
  <c r="O33" i="2"/>
  <c r="K8" i="2"/>
  <c r="K11" i="2" s="1"/>
  <c r="K7" i="2"/>
  <c r="K22" i="2" s="1"/>
  <c r="O8" i="2"/>
  <c r="O11" i="2" s="1"/>
  <c r="O7" i="2"/>
  <c r="O22" i="2" s="1"/>
  <c r="L10" i="1"/>
  <c r="L8" i="1"/>
  <c r="L7" i="1"/>
  <c r="L6" i="1"/>
  <c r="U4" i="2"/>
  <c r="V4" i="2" s="1"/>
  <c r="W4" i="2" s="1"/>
  <c r="X4" i="2" s="1"/>
  <c r="Y4" i="2" s="1"/>
  <c r="Z4" i="2" s="1"/>
  <c r="AA4" i="2" s="1"/>
  <c r="AB4" i="2" s="1"/>
  <c r="AC4" i="2" s="1"/>
  <c r="AD4" i="2" s="1"/>
  <c r="AE4" i="2" s="1"/>
  <c r="AF4" i="2" s="1"/>
  <c r="AG4" i="2" s="1"/>
  <c r="AH4" i="2" s="1"/>
  <c r="AI4" i="2" s="1"/>
  <c r="N82" i="2" l="1"/>
  <c r="N77" i="2"/>
  <c r="N71" i="2"/>
  <c r="N72" i="2" s="1"/>
  <c r="M82" i="2"/>
  <c r="M77" i="2"/>
  <c r="M71" i="2"/>
  <c r="M72" i="2" s="1"/>
  <c r="N41" i="2"/>
  <c r="O41" i="2"/>
  <c r="N28" i="2"/>
  <c r="O50" i="2"/>
  <c r="M50" i="2"/>
  <c r="M51" i="2" s="1"/>
  <c r="M52" i="2" s="1"/>
  <c r="M12" i="2"/>
  <c r="L50" i="2"/>
  <c r="L41" i="2"/>
  <c r="L12" i="2"/>
  <c r="L23" i="2" s="1"/>
  <c r="L22" i="2"/>
  <c r="K50" i="2"/>
  <c r="K41" i="2"/>
  <c r="K32" i="2"/>
  <c r="F12" i="2"/>
  <c r="F16" i="2" s="1"/>
  <c r="F23" i="2"/>
  <c r="F22" i="2"/>
  <c r="E12" i="2"/>
  <c r="I12" i="2"/>
  <c r="I16" i="2"/>
  <c r="I23" i="2"/>
  <c r="I22" i="2"/>
  <c r="D12" i="2"/>
  <c r="H12" i="2"/>
  <c r="H23" i="2" s="1"/>
  <c r="H22" i="2"/>
  <c r="C12" i="2"/>
  <c r="G12" i="2"/>
  <c r="J12" i="2"/>
  <c r="N12" i="2"/>
  <c r="K85" i="2"/>
  <c r="O32" i="2"/>
  <c r="N50" i="2"/>
  <c r="O12" i="2"/>
  <c r="O16" i="2" s="1"/>
  <c r="O25" i="2" s="1"/>
  <c r="K12" i="2"/>
  <c r="N85" i="2" l="1"/>
  <c r="M85" i="2"/>
  <c r="L51" i="2"/>
  <c r="L52" i="2" s="1"/>
  <c r="O51" i="2"/>
  <c r="O52" i="2" s="1"/>
  <c r="N51" i="2"/>
  <c r="N52" i="2" s="1"/>
  <c r="M23" i="2"/>
  <c r="M16" i="2"/>
  <c r="L16" i="2"/>
  <c r="L18" i="2" s="1"/>
  <c r="L57" i="2" s="1"/>
  <c r="K51" i="2"/>
  <c r="K52" i="2" s="1"/>
  <c r="F18" i="2"/>
  <c r="F25" i="2"/>
  <c r="E16" i="2"/>
  <c r="E23" i="2"/>
  <c r="I18" i="2"/>
  <c r="I25" i="2"/>
  <c r="D23" i="2"/>
  <c r="D16" i="2"/>
  <c r="H16" i="2"/>
  <c r="H18" i="2" s="1"/>
  <c r="C23" i="2"/>
  <c r="C16" i="2"/>
  <c r="G23" i="2"/>
  <c r="G16" i="2"/>
  <c r="J23" i="2"/>
  <c r="J16" i="2"/>
  <c r="N23" i="2"/>
  <c r="N16" i="2"/>
  <c r="O23" i="2"/>
  <c r="O18" i="2"/>
  <c r="O19" i="2"/>
  <c r="K23" i="2"/>
  <c r="K16" i="2"/>
  <c r="O24" i="2" l="1"/>
  <c r="O57" i="2"/>
  <c r="M18" i="2"/>
  <c r="M25" i="2"/>
  <c r="L25" i="2"/>
  <c r="L24" i="2"/>
  <c r="L19" i="2"/>
  <c r="F19" i="2"/>
  <c r="F24" i="2"/>
  <c r="E18" i="2"/>
  <c r="E25" i="2"/>
  <c r="I19" i="2"/>
  <c r="I24" i="2"/>
  <c r="D25" i="2"/>
  <c r="D18" i="2"/>
  <c r="H25" i="2"/>
  <c r="H19" i="2"/>
  <c r="H24" i="2"/>
  <c r="C25" i="2"/>
  <c r="C18" i="2"/>
  <c r="G25" i="2"/>
  <c r="G18" i="2"/>
  <c r="J25" i="2"/>
  <c r="J18" i="2"/>
  <c r="N25" i="2"/>
  <c r="N18" i="2"/>
  <c r="K18" i="2"/>
  <c r="K57" i="2" s="1"/>
  <c r="K25" i="2"/>
  <c r="M24" i="2" l="1"/>
  <c r="M19" i="2"/>
  <c r="E19" i="2"/>
  <c r="E24" i="2"/>
  <c r="D24" i="2"/>
  <c r="D19" i="2"/>
  <c r="C24" i="2"/>
  <c r="C19" i="2"/>
  <c r="G19" i="2"/>
  <c r="G24" i="2"/>
  <c r="J24" i="2"/>
  <c r="J19" i="2"/>
  <c r="N24" i="2"/>
  <c r="N19" i="2"/>
  <c r="K24" i="2"/>
  <c r="K19" i="2"/>
</calcChain>
</file>

<file path=xl/sharedStrings.xml><?xml version="1.0" encoding="utf-8"?>
<sst xmlns="http://schemas.openxmlformats.org/spreadsheetml/2006/main" count="110" uniqueCount="84">
  <si>
    <t>Expedia Group</t>
  </si>
  <si>
    <t>(EXPE)</t>
  </si>
  <si>
    <t>(in millions)</t>
  </si>
  <si>
    <t>Q121</t>
  </si>
  <si>
    <t>Q221</t>
  </si>
  <si>
    <t>Q321</t>
  </si>
  <si>
    <t>Q421</t>
  </si>
  <si>
    <t>Q122</t>
  </si>
  <si>
    <t>Q222</t>
  </si>
  <si>
    <t>Q322</t>
  </si>
  <si>
    <t>Q422</t>
  </si>
  <si>
    <t>Q123</t>
  </si>
  <si>
    <t>Q223</t>
  </si>
  <si>
    <t>Q323</t>
  </si>
  <si>
    <t>Q423</t>
  </si>
  <si>
    <t>Q124</t>
  </si>
  <si>
    <t>Q224</t>
  </si>
  <si>
    <t>Q324</t>
  </si>
  <si>
    <t>Q424</t>
  </si>
  <si>
    <t>Price</t>
  </si>
  <si>
    <t>Shares</t>
  </si>
  <si>
    <t>MC</t>
  </si>
  <si>
    <t>Cash</t>
  </si>
  <si>
    <t>Debt</t>
  </si>
  <si>
    <t>EV</t>
  </si>
  <si>
    <t>Revenue</t>
  </si>
  <si>
    <t>COGS</t>
  </si>
  <si>
    <t>Gross profit</t>
  </si>
  <si>
    <t>S&amp;M</t>
  </si>
  <si>
    <t>R&amp;D</t>
  </si>
  <si>
    <t>G&amp;A</t>
  </si>
  <si>
    <t>Operating expense</t>
  </si>
  <si>
    <t>Operating income</t>
  </si>
  <si>
    <t>Interest income</t>
  </si>
  <si>
    <t>Interest expense</t>
  </si>
  <si>
    <t>Other</t>
  </si>
  <si>
    <t>Pretax</t>
  </si>
  <si>
    <t>Taxes</t>
  </si>
  <si>
    <t>Net income</t>
  </si>
  <si>
    <t>EPS</t>
  </si>
  <si>
    <t>Gross margin</t>
  </si>
  <si>
    <t>Operating margin</t>
  </si>
  <si>
    <t>Net margin</t>
  </si>
  <si>
    <t>Tax rate</t>
  </si>
  <si>
    <t>Revenue y/y</t>
  </si>
  <si>
    <t>S&amp;M y/y</t>
  </si>
  <si>
    <t>R&amp;D y/y</t>
  </si>
  <si>
    <t>G&amp;A y/y</t>
  </si>
  <si>
    <t>Net cash</t>
  </si>
  <si>
    <t>A/R</t>
  </si>
  <si>
    <t>Prepaid</t>
  </si>
  <si>
    <t>PP&amp;E</t>
  </si>
  <si>
    <t>Lease</t>
  </si>
  <si>
    <t>D/T</t>
  </si>
  <si>
    <t>Goodwill</t>
  </si>
  <si>
    <t>Assets</t>
  </si>
  <si>
    <t>A/P</t>
  </si>
  <si>
    <t>D/R</t>
  </si>
  <si>
    <t>Accrued</t>
  </si>
  <si>
    <t>Liabilties</t>
  </si>
  <si>
    <t>S/E</t>
  </si>
  <si>
    <t>L+S/E</t>
  </si>
  <si>
    <t>Model NI</t>
  </si>
  <si>
    <t>Reported NI</t>
  </si>
  <si>
    <t>D&amp;A</t>
  </si>
  <si>
    <t>TTM</t>
  </si>
  <si>
    <t>ROIC</t>
  </si>
  <si>
    <t>SBC</t>
  </si>
  <si>
    <t>FX</t>
  </si>
  <si>
    <t>CIC</t>
  </si>
  <si>
    <t>Investments</t>
  </si>
  <si>
    <t>Working capital</t>
  </si>
  <si>
    <t>CFFO</t>
  </si>
  <si>
    <t>CapEx</t>
  </si>
  <si>
    <t>CFFI</t>
  </si>
  <si>
    <t>Treasury</t>
  </si>
  <si>
    <t>SBC exercise</t>
  </si>
  <si>
    <t>CFFF</t>
  </si>
  <si>
    <t>FCF</t>
  </si>
  <si>
    <t>FCF-SBC</t>
  </si>
  <si>
    <t>Employees</t>
  </si>
  <si>
    <t>Main!A1</t>
  </si>
  <si>
    <t>..\AllCompanies.xlsx</t>
  </si>
  <si>
    <t>TTM net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</si>
</sst>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\x"/>
  </numFmts>
  <fonts count="5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i/>
      <sz val="10"/>
      <color theme="1"/>
      <name val="Arial"/>
      <family val="2"/>
    </font>
    <font>
      <sz val="28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right"/>
    </xf>
    <xf numFmtId="3" fontId="0" fillId="0" borderId="0" xfId="0" applyNumberFormat="1"/>
    <xf numFmtId="4" fontId="0" fillId="0" borderId="0" xfId="0" applyNumberFormat="1"/>
    <xf numFmtId="9" fontId="0" fillId="0" borderId="0" xfId="0" applyNumberFormat="1"/>
    <xf numFmtId="0" fontId="1" fillId="0" borderId="0" xfId="0" applyFont="1"/>
    <xf numFmtId="3" fontId="1" fillId="0" borderId="0" xfId="0" applyNumberFormat="1" applyFont="1"/>
    <xf numFmtId="9" fontId="1" fillId="0" borderId="0" xfId="0" applyNumberFormat="1" applyFont="1"/>
    <xf numFmtId="14" fontId="0" fillId="0" borderId="0" xfId="0" applyNumberFormat="1"/>
    <xf numFmtId="9" fontId="0" fillId="0" borderId="0" xfId="0" applyNumberFormat="1" applyAlignment="1">
      <alignment horizontal="left" indent="1"/>
    </xf>
    <xf numFmtId="164" fontId="0" fillId="0" borderId="0" xfId="0" applyNumberForma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38100</xdr:colOff>
      <xdr:row>0</xdr:row>
      <xdr:rowOff>85725</xdr:rowOff>
    </xdr:from>
    <xdr:to>
      <xdr:col>15</xdr:col>
      <xdr:colOff>38100</xdr:colOff>
      <xdr:row>95</xdr:row>
      <xdr:rowOff>38100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14A34F08-57CB-208D-9DEE-C7DE70DEC2F7}"/>
            </a:ext>
          </a:extLst>
        </xdr:cNvPr>
        <xdr:cNvCxnSpPr/>
      </xdr:nvCxnSpPr>
      <xdr:spPr>
        <a:xfrm>
          <a:off x="10858500" y="85725"/>
          <a:ext cx="0" cy="156114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28575</xdr:colOff>
      <xdr:row>0</xdr:row>
      <xdr:rowOff>57150</xdr:rowOff>
    </xdr:from>
    <xdr:to>
      <xdr:col>25</xdr:col>
      <xdr:colOff>28575</xdr:colOff>
      <xdr:row>95</xdr:row>
      <xdr:rowOff>9525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BC5525C9-0AE5-4148-BA93-2EF036209CCC}"/>
            </a:ext>
          </a:extLst>
        </xdr:cNvPr>
        <xdr:cNvCxnSpPr/>
      </xdr:nvCxnSpPr>
      <xdr:spPr>
        <a:xfrm>
          <a:off x="16944975" y="57150"/>
          <a:ext cx="0" cy="156114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\AllCompanies.xls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58CFC-176D-43EC-8F47-3613099E772A}">
  <dimension ref="A1:M11"/>
  <sheetViews>
    <sheetView workbookViewId="0">
      <selection activeCell="L12" sqref="L12"/>
    </sheetView>
  </sheetViews>
  <sheetFormatPr defaultRowHeight="12.75" x14ac:dyDescent="0.2"/>
  <cols>
    <col min="1" max="1" width="3.140625" customWidth="1"/>
    <col min="2" max="2" width="11.85546875" customWidth="1"/>
  </cols>
  <sheetData>
    <row r="1" spans="1:13" x14ac:dyDescent="0.2">
      <c r="A1" s="13" t="s">
        <v>82</v>
      </c>
    </row>
    <row r="2" spans="1:13" ht="34.5" x14ac:dyDescent="0.45">
      <c r="B2" s="2" t="s">
        <v>0</v>
      </c>
    </row>
    <row r="3" spans="1:13" x14ac:dyDescent="0.2">
      <c r="B3" s="1" t="s">
        <v>1</v>
      </c>
    </row>
    <row r="4" spans="1:13" x14ac:dyDescent="0.2">
      <c r="B4" s="1" t="s">
        <v>2</v>
      </c>
    </row>
    <row r="5" spans="1:13" x14ac:dyDescent="0.2">
      <c r="K5" t="s">
        <v>19</v>
      </c>
      <c r="L5" s="5">
        <v>112.25</v>
      </c>
      <c r="M5" s="3"/>
    </row>
    <row r="6" spans="1:13" x14ac:dyDescent="0.2">
      <c r="K6" t="s">
        <v>20</v>
      </c>
      <c r="L6" s="4">
        <f>127.224287+5.523452</f>
        <v>132.747739</v>
      </c>
      <c r="M6" s="3" t="s">
        <v>15</v>
      </c>
    </row>
    <row r="7" spans="1:13" x14ac:dyDescent="0.2">
      <c r="K7" t="s">
        <v>21</v>
      </c>
      <c r="L7" s="4">
        <f>+L5*L6</f>
        <v>14900.933702749999</v>
      </c>
      <c r="M7" s="3"/>
    </row>
    <row r="8" spans="1:13" x14ac:dyDescent="0.2">
      <c r="K8" t="s">
        <v>22</v>
      </c>
      <c r="L8" s="4">
        <f>5686+1936+26+1245</f>
        <v>8893</v>
      </c>
      <c r="M8" s="3" t="s">
        <v>15</v>
      </c>
    </row>
    <row r="9" spans="1:13" x14ac:dyDescent="0.2">
      <c r="K9" t="s">
        <v>23</v>
      </c>
      <c r="L9" s="4">
        <v>6256</v>
      </c>
      <c r="M9" s="3" t="s">
        <v>15</v>
      </c>
    </row>
    <row r="10" spans="1:13" x14ac:dyDescent="0.2">
      <c r="K10" t="s">
        <v>24</v>
      </c>
      <c r="L10" s="4">
        <f>+L7-L8+L9</f>
        <v>12263.933702749999</v>
      </c>
      <c r="M10" s="3"/>
    </row>
    <row r="11" spans="1:13" x14ac:dyDescent="0.2">
      <c r="L11" s="12">
        <f>+L10/1904</f>
        <v>6.4411416506039911</v>
      </c>
    </row>
  </sheetData>
  <hyperlinks>
    <hyperlink ref="A1" r:id="rId1" xr:uid="{5980686E-48D3-4445-B1DF-FD0C5A217383}"/>
  </hyperlinks>
  <pageMargins left="0.7" right="0.7" top="0.75" bottom="0.75" header="0.3" footer="0.3"/>
  <pageSetup paperSize="9" orientation="portrait" horizontalDpi="360" verticalDpi="36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7EABE-D0D1-4B50-82D9-1A67385D30DD}">
  <dimension ref="A1:AI93"/>
  <sheetViews>
    <sheetView tabSelected="1" workbookViewId="0">
      <pane xSplit="2" ySplit="4" topLeftCell="F11" activePane="bottomRight" state="frozen"/>
      <selection pane="topRight" activeCell="C1" sqref="C1"/>
      <selection pane="bottomLeft" activeCell="A5" sqref="A5"/>
      <selection pane="bottomRight" activeCell="I39" sqref="I39"/>
    </sheetView>
  </sheetViews>
  <sheetFormatPr defaultRowHeight="12.75" x14ac:dyDescent="0.2"/>
  <cols>
    <col min="1" max="1" width="3.140625" customWidth="1"/>
    <col min="2" max="2" width="27.28515625" customWidth="1"/>
    <col min="3" max="15" width="10.140625" style="4" bestFit="1" customWidth="1"/>
    <col min="16" max="16384" width="9.140625" style="4"/>
  </cols>
  <sheetData>
    <row r="1" spans="1:35" customFormat="1" x14ac:dyDescent="0.2">
      <c r="A1" s="13" t="s">
        <v>81</v>
      </c>
    </row>
    <row r="2" spans="1:35" customFormat="1" ht="34.5" x14ac:dyDescent="0.45">
      <c r="B2" s="2" t="s">
        <v>0</v>
      </c>
    </row>
    <row r="3" spans="1:35" customFormat="1" x14ac:dyDescent="0.2">
      <c r="B3" s="1" t="s">
        <v>1</v>
      </c>
      <c r="C3" s="10">
        <v>44286</v>
      </c>
      <c r="D3" s="10">
        <v>44377</v>
      </c>
      <c r="E3" s="10">
        <v>44469</v>
      </c>
      <c r="F3" s="10">
        <v>44561</v>
      </c>
      <c r="G3" s="10">
        <v>44651</v>
      </c>
      <c r="H3" s="10">
        <v>44742</v>
      </c>
      <c r="I3" s="10">
        <v>44834</v>
      </c>
      <c r="J3" s="10">
        <v>44926</v>
      </c>
      <c r="K3" s="10">
        <v>45016</v>
      </c>
      <c r="L3" s="10">
        <v>45107</v>
      </c>
      <c r="M3" s="10">
        <v>45199</v>
      </c>
      <c r="N3" s="10">
        <v>45291</v>
      </c>
      <c r="O3" s="10">
        <v>45382</v>
      </c>
    </row>
    <row r="4" spans="1:35" customFormat="1" x14ac:dyDescent="0.2">
      <c r="B4" s="1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3" t="s">
        <v>10</v>
      </c>
      <c r="K4" s="3" t="s">
        <v>11</v>
      </c>
      <c r="L4" s="3" t="s">
        <v>12</v>
      </c>
      <c r="M4" s="3" t="s">
        <v>13</v>
      </c>
      <c r="N4" s="3" t="s">
        <v>14</v>
      </c>
      <c r="O4" s="3" t="s">
        <v>15</v>
      </c>
      <c r="P4" s="3" t="s">
        <v>16</v>
      </c>
      <c r="Q4" s="3" t="s">
        <v>17</v>
      </c>
      <c r="R4" s="3" t="s">
        <v>18</v>
      </c>
      <c r="T4">
        <v>2018</v>
      </c>
      <c r="U4">
        <f>+T4+1</f>
        <v>2019</v>
      </c>
      <c r="V4">
        <f t="shared" ref="V4:AI4" si="0">+U4+1</f>
        <v>2020</v>
      </c>
      <c r="W4">
        <f t="shared" si="0"/>
        <v>2021</v>
      </c>
      <c r="X4">
        <f t="shared" si="0"/>
        <v>2022</v>
      </c>
      <c r="Y4">
        <f t="shared" si="0"/>
        <v>2023</v>
      </c>
      <c r="Z4">
        <f t="shared" si="0"/>
        <v>2024</v>
      </c>
      <c r="AA4">
        <f t="shared" si="0"/>
        <v>2025</v>
      </c>
      <c r="AB4">
        <f t="shared" si="0"/>
        <v>2026</v>
      </c>
      <c r="AC4">
        <f t="shared" si="0"/>
        <v>2027</v>
      </c>
      <c r="AD4">
        <f t="shared" si="0"/>
        <v>2028</v>
      </c>
      <c r="AE4">
        <f t="shared" si="0"/>
        <v>2029</v>
      </c>
      <c r="AF4">
        <f t="shared" si="0"/>
        <v>2030</v>
      </c>
      <c r="AG4">
        <f t="shared" si="0"/>
        <v>2031</v>
      </c>
      <c r="AH4">
        <f t="shared" si="0"/>
        <v>2032</v>
      </c>
      <c r="AI4">
        <f t="shared" si="0"/>
        <v>2033</v>
      </c>
    </row>
    <row r="5" spans="1:35" x14ac:dyDescent="0.2">
      <c r="B5" t="s">
        <v>25</v>
      </c>
      <c r="C5" s="4">
        <v>1246</v>
      </c>
      <c r="D5" s="4">
        <v>2111</v>
      </c>
      <c r="E5" s="4">
        <v>2962</v>
      </c>
      <c r="F5" s="4">
        <v>2279</v>
      </c>
      <c r="G5" s="4">
        <v>2249</v>
      </c>
      <c r="H5" s="4">
        <v>3181</v>
      </c>
      <c r="I5" s="4">
        <v>3619</v>
      </c>
      <c r="J5" s="4">
        <v>2618</v>
      </c>
      <c r="K5" s="4">
        <v>2665</v>
      </c>
      <c r="L5" s="4">
        <v>3358</v>
      </c>
      <c r="M5" s="4">
        <v>3929</v>
      </c>
      <c r="N5" s="4">
        <v>2887</v>
      </c>
      <c r="O5" s="4">
        <v>2889</v>
      </c>
      <c r="Y5" s="4">
        <v>12839</v>
      </c>
    </row>
    <row r="6" spans="1:35" x14ac:dyDescent="0.2">
      <c r="B6" t="s">
        <v>26</v>
      </c>
      <c r="C6" s="4">
        <v>311</v>
      </c>
      <c r="D6" s="4">
        <v>374</v>
      </c>
      <c r="E6" s="4">
        <v>442</v>
      </c>
      <c r="F6" s="4">
        <v>395</v>
      </c>
      <c r="G6" s="4">
        <v>371</v>
      </c>
      <c r="H6" s="4">
        <v>419</v>
      </c>
      <c r="I6" s="4">
        <v>455</v>
      </c>
      <c r="J6" s="4">
        <v>412</v>
      </c>
      <c r="K6" s="4">
        <v>414</v>
      </c>
      <c r="L6" s="4">
        <v>407</v>
      </c>
      <c r="M6" s="4">
        <v>412</v>
      </c>
      <c r="N6" s="4">
        <v>340</v>
      </c>
      <c r="O6" s="4">
        <v>358</v>
      </c>
      <c r="Y6" s="4">
        <v>1573</v>
      </c>
    </row>
    <row r="7" spans="1:35" s="8" customFormat="1" x14ac:dyDescent="0.2">
      <c r="A7" s="7"/>
      <c r="B7" s="7" t="s">
        <v>27</v>
      </c>
      <c r="C7" s="8">
        <f>+C5-C6</f>
        <v>935</v>
      </c>
      <c r="D7" s="8">
        <f>+D5-D6</f>
        <v>1737</v>
      </c>
      <c r="E7" s="8">
        <f>+E5-E6</f>
        <v>2520</v>
      </c>
      <c r="F7" s="8">
        <f>+F5-F6</f>
        <v>1884</v>
      </c>
      <c r="G7" s="8">
        <f>+G5-G6</f>
        <v>1878</v>
      </c>
      <c r="H7" s="8">
        <f>+H5-H6</f>
        <v>2762</v>
      </c>
      <c r="I7" s="8">
        <f>+I5-I6</f>
        <v>3164</v>
      </c>
      <c r="J7" s="8">
        <f>+J5-J6</f>
        <v>2206</v>
      </c>
      <c r="K7" s="8">
        <f>+K5-K6</f>
        <v>2251</v>
      </c>
      <c r="L7" s="8">
        <f>+L5-L6</f>
        <v>2951</v>
      </c>
      <c r="M7" s="8">
        <f>+M5-M6</f>
        <v>3517</v>
      </c>
      <c r="N7" s="8">
        <f>+N5-N6</f>
        <v>2547</v>
      </c>
      <c r="O7" s="8">
        <f>+O5-O6</f>
        <v>2531</v>
      </c>
      <c r="Y7" s="8">
        <f>+Y5-Y6</f>
        <v>11266</v>
      </c>
    </row>
    <row r="8" spans="1:35" x14ac:dyDescent="0.2">
      <c r="B8" t="s">
        <v>28</v>
      </c>
      <c r="C8" s="4">
        <v>664</v>
      </c>
      <c r="D8" s="4">
        <v>1199</v>
      </c>
      <c r="E8" s="4">
        <v>1314</v>
      </c>
      <c r="F8" s="4">
        <v>1044</v>
      </c>
      <c r="G8" s="4">
        <v>1339</v>
      </c>
      <c r="H8" s="4">
        <v>1716</v>
      </c>
      <c r="I8" s="4">
        <v>1669</v>
      </c>
      <c r="J8" s="4">
        <f>1199+177</f>
        <v>1376</v>
      </c>
      <c r="K8" s="4">
        <f>1487+187</f>
        <v>1674</v>
      </c>
      <c r="L8" s="4">
        <v>1770</v>
      </c>
      <c r="M8" s="4">
        <v>1856</v>
      </c>
      <c r="N8" s="4">
        <f>1370+193</f>
        <v>1563</v>
      </c>
      <c r="O8" s="4">
        <f>1650+186</f>
        <v>1836</v>
      </c>
      <c r="Y8" s="4">
        <f>6107+756</f>
        <v>6863</v>
      </c>
    </row>
    <row r="9" spans="1:35" x14ac:dyDescent="0.2">
      <c r="B9" t="s">
        <v>29</v>
      </c>
      <c r="C9" s="4">
        <v>247</v>
      </c>
      <c r="D9" s="4">
        <v>276</v>
      </c>
      <c r="E9" s="4">
        <v>277</v>
      </c>
      <c r="F9" s="4">
        <v>274</v>
      </c>
      <c r="G9" s="4">
        <v>270</v>
      </c>
      <c r="H9" s="4">
        <v>284</v>
      </c>
      <c r="I9" s="4">
        <v>310</v>
      </c>
      <c r="J9" s="4">
        <v>317</v>
      </c>
      <c r="K9" s="4">
        <v>317</v>
      </c>
      <c r="L9" s="4">
        <v>344</v>
      </c>
      <c r="M9" s="4">
        <v>340</v>
      </c>
      <c r="N9" s="4">
        <v>357</v>
      </c>
      <c r="O9" s="4">
        <v>341</v>
      </c>
      <c r="Y9" s="4">
        <v>1358</v>
      </c>
    </row>
    <row r="10" spans="1:35" x14ac:dyDescent="0.2">
      <c r="B10" t="s">
        <v>30</v>
      </c>
      <c r="C10" s="4">
        <v>156</v>
      </c>
      <c r="D10" s="4">
        <v>184</v>
      </c>
      <c r="E10" s="4">
        <v>182</v>
      </c>
      <c r="F10" s="4">
        <v>183</v>
      </c>
      <c r="G10" s="4">
        <v>186</v>
      </c>
      <c r="H10" s="4">
        <v>189</v>
      </c>
      <c r="I10" s="4">
        <v>187</v>
      </c>
      <c r="J10" s="4">
        <v>186</v>
      </c>
      <c r="K10" s="4">
        <v>184</v>
      </c>
      <c r="L10" s="4">
        <v>194</v>
      </c>
      <c r="M10" s="4">
        <v>194</v>
      </c>
      <c r="N10" s="4">
        <v>199</v>
      </c>
      <c r="O10" s="4">
        <v>186</v>
      </c>
      <c r="Y10" s="4">
        <v>771</v>
      </c>
    </row>
    <row r="11" spans="1:35" x14ac:dyDescent="0.2">
      <c r="B11" t="s">
        <v>31</v>
      </c>
      <c r="C11" s="4">
        <f>+SUM(C8:C10)</f>
        <v>1067</v>
      </c>
      <c r="D11" s="4">
        <f>+SUM(D8:D10)</f>
        <v>1659</v>
      </c>
      <c r="E11" s="4">
        <f>+SUM(E8:E10)</f>
        <v>1773</v>
      </c>
      <c r="F11" s="4">
        <f>+SUM(F8:F10)</f>
        <v>1501</v>
      </c>
      <c r="G11" s="4">
        <f>+SUM(G8:G10)</f>
        <v>1795</v>
      </c>
      <c r="H11" s="4">
        <f>+SUM(H8:H10)</f>
        <v>2189</v>
      </c>
      <c r="I11" s="4">
        <f>+SUM(I8:I10)</f>
        <v>2166</v>
      </c>
      <c r="J11" s="4">
        <f>+SUM(J8:J10)</f>
        <v>1879</v>
      </c>
      <c r="K11" s="4">
        <f>+SUM(K8:K10)</f>
        <v>2175</v>
      </c>
      <c r="L11" s="4">
        <f>+SUM(L8:L10)</f>
        <v>2308</v>
      </c>
      <c r="M11" s="4">
        <f>+SUM(M8:M10)</f>
        <v>2390</v>
      </c>
      <c r="N11" s="4">
        <f>+SUM(N8:N10)</f>
        <v>2119</v>
      </c>
      <c r="O11" s="4">
        <f>+SUM(O8:O10)</f>
        <v>2363</v>
      </c>
      <c r="Y11" s="4">
        <f>+SUM(Y8:Y10)</f>
        <v>8992</v>
      </c>
    </row>
    <row r="12" spans="1:35" s="8" customFormat="1" x14ac:dyDescent="0.2">
      <c r="A12" s="7"/>
      <c r="B12" s="7" t="s">
        <v>32</v>
      </c>
      <c r="C12" s="8">
        <f>+C7-C11</f>
        <v>-132</v>
      </c>
      <c r="D12" s="8">
        <f>+D7-D11</f>
        <v>78</v>
      </c>
      <c r="E12" s="8">
        <f>+E7-E11</f>
        <v>747</v>
      </c>
      <c r="F12" s="8">
        <f>+F7-F11</f>
        <v>383</v>
      </c>
      <c r="G12" s="8">
        <f>+G7-G11</f>
        <v>83</v>
      </c>
      <c r="H12" s="8">
        <f>+H7-H11</f>
        <v>573</v>
      </c>
      <c r="I12" s="8">
        <f>+I7-I11</f>
        <v>998</v>
      </c>
      <c r="J12" s="8">
        <f>+J7-J11</f>
        <v>327</v>
      </c>
      <c r="K12" s="8">
        <f>+K7-K11</f>
        <v>76</v>
      </c>
      <c r="L12" s="8">
        <f>+L7-L11</f>
        <v>643</v>
      </c>
      <c r="M12" s="8">
        <f>+M7-M11</f>
        <v>1127</v>
      </c>
      <c r="N12" s="8">
        <f>+N7-N11</f>
        <v>428</v>
      </c>
      <c r="O12" s="8">
        <f>+O7-O11</f>
        <v>168</v>
      </c>
      <c r="Y12" s="8">
        <f>+Y7-Y11</f>
        <v>2274</v>
      </c>
    </row>
    <row r="13" spans="1:35" x14ac:dyDescent="0.2">
      <c r="B13" t="s">
        <v>33</v>
      </c>
      <c r="C13" s="4">
        <v>2</v>
      </c>
      <c r="D13" s="4">
        <v>1</v>
      </c>
      <c r="E13" s="4">
        <v>2</v>
      </c>
      <c r="F13" s="4">
        <v>4</v>
      </c>
      <c r="G13" s="4">
        <v>3</v>
      </c>
      <c r="H13" s="4">
        <v>10</v>
      </c>
      <c r="I13" s="4">
        <v>20</v>
      </c>
      <c r="J13" s="4">
        <v>27</v>
      </c>
      <c r="K13" s="4">
        <v>43</v>
      </c>
      <c r="L13" s="4">
        <v>63</v>
      </c>
      <c r="M13" s="4">
        <v>56</v>
      </c>
      <c r="N13" s="4">
        <v>45</v>
      </c>
      <c r="O13" s="4">
        <v>51</v>
      </c>
      <c r="Y13" s="4">
        <v>207</v>
      </c>
    </row>
    <row r="14" spans="1:35" x14ac:dyDescent="0.2">
      <c r="B14" t="s">
        <v>34</v>
      </c>
      <c r="C14" s="4">
        <v>-98</v>
      </c>
      <c r="D14" s="4">
        <v>-83</v>
      </c>
      <c r="E14" s="4">
        <v>-86</v>
      </c>
      <c r="F14" s="4">
        <v>-84</v>
      </c>
      <c r="G14" s="4">
        <v>-81</v>
      </c>
      <c r="H14" s="4">
        <v>-73</v>
      </c>
      <c r="I14" s="4">
        <v>-63</v>
      </c>
      <c r="J14" s="4">
        <v>-60</v>
      </c>
      <c r="K14" s="4">
        <v>-61</v>
      </c>
      <c r="L14" s="4">
        <v>-61</v>
      </c>
      <c r="M14" s="4">
        <v>-62</v>
      </c>
      <c r="N14" s="4">
        <v>-61</v>
      </c>
      <c r="O14" s="4">
        <v>-62</v>
      </c>
      <c r="Y14" s="4">
        <v>-245</v>
      </c>
    </row>
    <row r="15" spans="1:35" x14ac:dyDescent="0.2">
      <c r="B15" t="s">
        <v>35</v>
      </c>
      <c r="C15" s="4">
        <v>-5</v>
      </c>
      <c r="D15" s="4">
        <v>-10</v>
      </c>
      <c r="E15" s="4">
        <v>25</v>
      </c>
      <c r="F15" s="4">
        <v>-13</v>
      </c>
      <c r="G15" s="4">
        <v>5</v>
      </c>
      <c r="H15" s="4">
        <v>-385</v>
      </c>
      <c r="I15" s="4">
        <v>-87</v>
      </c>
      <c r="J15" s="4">
        <v>84</v>
      </c>
      <c r="K15" s="4">
        <v>78</v>
      </c>
      <c r="L15" s="4">
        <v>19</v>
      </c>
      <c r="M15" s="4">
        <v>-157</v>
      </c>
      <c r="N15" s="4">
        <v>82</v>
      </c>
      <c r="O15" s="4">
        <v>-34</v>
      </c>
      <c r="Y15" s="4">
        <v>-2</v>
      </c>
    </row>
    <row r="16" spans="1:35" x14ac:dyDescent="0.2">
      <c r="B16" t="s">
        <v>36</v>
      </c>
      <c r="C16" s="4">
        <f>+SUM(C13:C15)+C12</f>
        <v>-233</v>
      </c>
      <c r="D16" s="4">
        <f>+SUM(D13:D15)+D12</f>
        <v>-14</v>
      </c>
      <c r="E16" s="4">
        <f>+SUM(E13:E15)+E12</f>
        <v>688</v>
      </c>
      <c r="F16" s="4">
        <f>+SUM(F13:F15)+F12</f>
        <v>290</v>
      </c>
      <c r="G16" s="4">
        <f>+SUM(G13:G15)+G12</f>
        <v>10</v>
      </c>
      <c r="H16" s="4">
        <f>+SUM(H13:H15)+H12</f>
        <v>125</v>
      </c>
      <c r="I16" s="4">
        <f>+SUM(I13:I15)+I12</f>
        <v>868</v>
      </c>
      <c r="J16" s="4">
        <f>+SUM(J13:J15)+J12</f>
        <v>378</v>
      </c>
      <c r="K16" s="4">
        <f>+SUM(K13:K15)+K12</f>
        <v>136</v>
      </c>
      <c r="L16" s="4">
        <f>+SUM(L13:L15)+L12</f>
        <v>664</v>
      </c>
      <c r="M16" s="4">
        <f>+SUM(M13:M15)+M12</f>
        <v>964</v>
      </c>
      <c r="N16" s="4">
        <f>+SUM(N13:N15)+N12</f>
        <v>494</v>
      </c>
      <c r="O16" s="4">
        <f>+SUM(O13:O15)+O12</f>
        <v>123</v>
      </c>
      <c r="Y16" s="4">
        <f>+SUM(Y13:Y15)+Y12</f>
        <v>2234</v>
      </c>
    </row>
    <row r="17" spans="1:25" x14ac:dyDescent="0.2">
      <c r="B17" t="s">
        <v>37</v>
      </c>
      <c r="C17" s="4">
        <v>-169</v>
      </c>
      <c r="D17" s="4">
        <v>-47</v>
      </c>
      <c r="E17" s="4">
        <v>87</v>
      </c>
      <c r="F17" s="4">
        <v>76</v>
      </c>
      <c r="G17" s="4">
        <v>-85</v>
      </c>
      <c r="H17" s="4">
        <v>58</v>
      </c>
      <c r="I17" s="4">
        <v>214</v>
      </c>
      <c r="J17" s="4">
        <v>8</v>
      </c>
      <c r="K17" s="4">
        <v>79</v>
      </c>
      <c r="L17" s="4">
        <v>77</v>
      </c>
      <c r="M17" s="4">
        <v>139</v>
      </c>
      <c r="N17" s="4">
        <v>35</v>
      </c>
      <c r="O17" s="4">
        <v>-19</v>
      </c>
      <c r="Y17" s="4">
        <v>330</v>
      </c>
    </row>
    <row r="18" spans="1:25" s="8" customFormat="1" x14ac:dyDescent="0.2">
      <c r="A18" s="7"/>
      <c r="B18" s="7" t="s">
        <v>38</v>
      </c>
      <c r="C18" s="8">
        <f>+C16-C17</f>
        <v>-64</v>
      </c>
      <c r="D18" s="8">
        <f>+D16-D17</f>
        <v>33</v>
      </c>
      <c r="E18" s="8">
        <f>+E16-E17</f>
        <v>601</v>
      </c>
      <c r="F18" s="8">
        <f>+F16-F17</f>
        <v>214</v>
      </c>
      <c r="G18" s="8">
        <f>+G16-G17</f>
        <v>95</v>
      </c>
      <c r="H18" s="8">
        <f>+H16-H17</f>
        <v>67</v>
      </c>
      <c r="I18" s="8">
        <f>+I16-I17</f>
        <v>654</v>
      </c>
      <c r="J18" s="8">
        <f>+J16-J17</f>
        <v>370</v>
      </c>
      <c r="K18" s="8">
        <f>+K16-K17</f>
        <v>57</v>
      </c>
      <c r="L18" s="8">
        <f>+L16-L17</f>
        <v>587</v>
      </c>
      <c r="M18" s="8">
        <f>+M16-M17</f>
        <v>825</v>
      </c>
      <c r="N18" s="8">
        <f>+N16-N17</f>
        <v>459</v>
      </c>
      <c r="O18" s="8">
        <f>+O16-O17</f>
        <v>142</v>
      </c>
      <c r="Y18" s="8">
        <f>+Y16-Y17</f>
        <v>1904</v>
      </c>
    </row>
    <row r="19" spans="1:25" x14ac:dyDescent="0.2">
      <c r="B19" t="s">
        <v>39</v>
      </c>
      <c r="C19" s="5">
        <f>+C18/C20</f>
        <v>-0.44082903410225854</v>
      </c>
      <c r="D19" s="5">
        <f>+D18/D20</f>
        <v>0.22133835927910769</v>
      </c>
      <c r="E19" s="5">
        <f>+E18/E20</f>
        <v>3.7454817399975071</v>
      </c>
      <c r="F19" s="5">
        <f>+F18/F20</f>
        <v>1.3216403162055337</v>
      </c>
      <c r="G19" s="5">
        <f>+G18/G20</f>
        <v>0.60754895565532141</v>
      </c>
      <c r="H19" s="5">
        <f>+H18/H20</f>
        <v>0.4259647784347384</v>
      </c>
      <c r="I19" s="5">
        <f>+I18/I20</f>
        <v>4.0413028567191294</v>
      </c>
      <c r="J19" s="5">
        <f>+J18/J20</f>
        <v>2.3192839054233634</v>
      </c>
      <c r="K19" s="5">
        <f>+K18/K20</f>
        <v>0.37382687224958516</v>
      </c>
      <c r="L19" s="5">
        <f>+L18/L20</f>
        <v>3.8658096467427097</v>
      </c>
      <c r="M19" s="5">
        <f>+M18/M20</f>
        <v>5.583831930043047</v>
      </c>
      <c r="N19" s="5">
        <f>+N18/N20</f>
        <v>3.1771302000415313</v>
      </c>
      <c r="O19" s="5">
        <f>+O18/O20</f>
        <v>1.0479627456623937</v>
      </c>
      <c r="Y19" s="5">
        <f>+Y18/Y20</f>
        <v>12.674068748835102</v>
      </c>
    </row>
    <row r="20" spans="1:25" x14ac:dyDescent="0.2">
      <c r="B20" t="s">
        <v>20</v>
      </c>
      <c r="C20" s="4">
        <v>145.18100000000001</v>
      </c>
      <c r="D20" s="4">
        <v>149.09299999999999</v>
      </c>
      <c r="E20" s="4">
        <v>160.46</v>
      </c>
      <c r="F20" s="4">
        <v>161.91999999999999</v>
      </c>
      <c r="G20" s="4">
        <v>156.36600000000001</v>
      </c>
      <c r="H20" s="4">
        <v>157.29</v>
      </c>
      <c r="I20" s="4">
        <v>161.82900000000001</v>
      </c>
      <c r="J20" s="4">
        <v>159.53200000000001</v>
      </c>
      <c r="K20" s="4">
        <v>152.477</v>
      </c>
      <c r="L20" s="4">
        <v>151.84399999999999</v>
      </c>
      <c r="M20" s="4">
        <v>147.74799999999999</v>
      </c>
      <c r="N20" s="4">
        <v>144.47</v>
      </c>
      <c r="O20" s="4">
        <v>135.501</v>
      </c>
      <c r="Y20" s="4">
        <v>150.22800000000001</v>
      </c>
    </row>
    <row r="22" spans="1:25" s="6" customFormat="1" x14ac:dyDescent="0.2">
      <c r="B22" s="6" t="s">
        <v>40</v>
      </c>
      <c r="C22" s="6">
        <f>+C7/C5</f>
        <v>0.7504012841091493</v>
      </c>
      <c r="D22" s="6">
        <f>+D7/D5</f>
        <v>0.82283278067266696</v>
      </c>
      <c r="E22" s="6">
        <f>+E7/E5</f>
        <v>0.85077650236326807</v>
      </c>
      <c r="F22" s="6">
        <f>+F7/F5</f>
        <v>0.82667836770513381</v>
      </c>
      <c r="G22" s="6">
        <f>+G7/G5</f>
        <v>0.83503779457536687</v>
      </c>
      <c r="H22" s="6">
        <f>+H7/H5</f>
        <v>0.86828041496384789</v>
      </c>
      <c r="I22" s="6">
        <f>+I7/I5</f>
        <v>0.87427466150870403</v>
      </c>
      <c r="J22" s="6">
        <f>+J7/J5</f>
        <v>0.84262796027501907</v>
      </c>
      <c r="K22" s="6">
        <f>+K7/K5</f>
        <v>0.84465290806754223</v>
      </c>
      <c r="L22" s="6">
        <f>+L7/L5</f>
        <v>0.87879690291840384</v>
      </c>
      <c r="M22" s="6">
        <f>+M7/M5</f>
        <v>0.89513871214049379</v>
      </c>
      <c r="N22" s="6">
        <f>+N7/N5</f>
        <v>0.88223068929684789</v>
      </c>
      <c r="O22" s="6">
        <f>+O7/O5</f>
        <v>0.87608168916580131</v>
      </c>
      <c r="Y22" s="6">
        <f>+Y7/Y5</f>
        <v>0.87748266998987456</v>
      </c>
    </row>
    <row r="23" spans="1:25" s="6" customFormat="1" x14ac:dyDescent="0.2">
      <c r="B23" s="6" t="s">
        <v>41</v>
      </c>
      <c r="C23" s="6">
        <f>+C12/C5</f>
        <v>-0.10593900481540931</v>
      </c>
      <c r="D23" s="6">
        <f>+D12/D5</f>
        <v>3.6949313121743252E-2</v>
      </c>
      <c r="E23" s="6">
        <f>+E12/E5</f>
        <v>0.25219446320054018</v>
      </c>
      <c r="F23" s="6">
        <f>+F12/F5</f>
        <v>0.16805616498464238</v>
      </c>
      <c r="G23" s="6">
        <f>+G12/G5</f>
        <v>3.6905291240551356E-2</v>
      </c>
      <c r="H23" s="6">
        <f>+H12/H5</f>
        <v>0.18013203395158756</v>
      </c>
      <c r="I23" s="6">
        <f>+I12/I5</f>
        <v>0.27576678640508429</v>
      </c>
      <c r="J23" s="6">
        <f>+J12/J5</f>
        <v>0.12490450725744844</v>
      </c>
      <c r="K23" s="6">
        <f>+K12/K5</f>
        <v>2.8517823639774859E-2</v>
      </c>
      <c r="L23" s="6">
        <f>+L12/L5</f>
        <v>0.19148302561048244</v>
      </c>
      <c r="M23" s="6">
        <f>+M12/M5</f>
        <v>0.28684143547976582</v>
      </c>
      <c r="N23" s="6">
        <f>+N12/N5</f>
        <v>0.14825077935573258</v>
      </c>
      <c r="O23" s="6">
        <f>+O12/O5</f>
        <v>5.8151609553478714E-2</v>
      </c>
      <c r="Y23" s="6">
        <f>+Y12/Y5</f>
        <v>0.17711659786587741</v>
      </c>
    </row>
    <row r="24" spans="1:25" s="6" customFormat="1" x14ac:dyDescent="0.2">
      <c r="B24" s="6" t="s">
        <v>42</v>
      </c>
      <c r="C24" s="6">
        <f>+C18/C5</f>
        <v>-5.1364365971107544E-2</v>
      </c>
      <c r="D24" s="6">
        <f>+D18/D5</f>
        <v>1.5632401705352912E-2</v>
      </c>
      <c r="E24" s="6">
        <f>+E18/E5</f>
        <v>0.20290344361917623</v>
      </c>
      <c r="F24" s="6">
        <f>+F18/F5</f>
        <v>9.3900833698990785E-2</v>
      </c>
      <c r="G24" s="6">
        <f>+G18/G5</f>
        <v>4.2240995998221433E-2</v>
      </c>
      <c r="H24" s="6">
        <f>+H18/H5</f>
        <v>2.1062558943728386E-2</v>
      </c>
      <c r="I24" s="6">
        <f>+I18/I5</f>
        <v>0.18071290411715943</v>
      </c>
      <c r="J24" s="6">
        <f>+J18/J5</f>
        <v>0.14132925897631779</v>
      </c>
      <c r="K24" s="6">
        <f>+K18/K5</f>
        <v>2.1388367729831145E-2</v>
      </c>
      <c r="L24" s="6">
        <f>+L18/L5</f>
        <v>0.17480643240023824</v>
      </c>
      <c r="M24" s="6">
        <f>+M18/M5</f>
        <v>0.20997709340799187</v>
      </c>
      <c r="N24" s="6">
        <f>+N18/N5</f>
        <v>0.1589885694492553</v>
      </c>
      <c r="O24" s="6">
        <f>+O18/O5</f>
        <v>4.9151955694011769E-2</v>
      </c>
      <c r="Y24" s="6">
        <f>+Y18/Y5</f>
        <v>0.14829815406184282</v>
      </c>
    </row>
    <row r="25" spans="1:25" s="6" customFormat="1" x14ac:dyDescent="0.2">
      <c r="B25" s="6" t="s">
        <v>43</v>
      </c>
      <c r="C25" s="6">
        <f>+C17/C16</f>
        <v>0.72532188841201717</v>
      </c>
      <c r="D25" s="6">
        <f>+D17/D16</f>
        <v>3.3571428571428572</v>
      </c>
      <c r="E25" s="6">
        <f>+E17/E16</f>
        <v>0.12645348837209303</v>
      </c>
      <c r="F25" s="6">
        <f>+F17/F16</f>
        <v>0.2620689655172414</v>
      </c>
      <c r="G25" s="6">
        <f>+G17/G16</f>
        <v>-8.5</v>
      </c>
      <c r="H25" s="6">
        <f>+H17/H16</f>
        <v>0.46400000000000002</v>
      </c>
      <c r="I25" s="6">
        <f>+I17/I16</f>
        <v>0.24654377880184331</v>
      </c>
      <c r="J25" s="6">
        <f>+J17/J16</f>
        <v>2.1164021164021163E-2</v>
      </c>
      <c r="K25" s="6">
        <f>+K17/K16</f>
        <v>0.58088235294117652</v>
      </c>
      <c r="L25" s="6">
        <f>+L17/L16</f>
        <v>0.11596385542168675</v>
      </c>
      <c r="M25" s="6">
        <f>+M17/M16</f>
        <v>0.14419087136929459</v>
      </c>
      <c r="N25" s="6">
        <f>+N17/N16</f>
        <v>7.08502024291498E-2</v>
      </c>
      <c r="O25" s="6">
        <f>+O17/O16</f>
        <v>-0.15447154471544716</v>
      </c>
      <c r="Y25" s="6">
        <f>+Y17/Y16</f>
        <v>0.14771709937332139</v>
      </c>
    </row>
    <row r="26" spans="1:25" s="6" customFormat="1" x14ac:dyDescent="0.2"/>
    <row r="27" spans="1:25" s="9" customFormat="1" x14ac:dyDescent="0.2">
      <c r="B27" s="9" t="s">
        <v>44</v>
      </c>
      <c r="G27" s="9">
        <f t="shared" ref="G27:M27" si="1">+G5/C5-1</f>
        <v>0.804975922953451</v>
      </c>
      <c r="H27" s="9">
        <f t="shared" si="1"/>
        <v>0.50686878256750356</v>
      </c>
      <c r="I27" s="9">
        <f t="shared" si="1"/>
        <v>0.22180958811613771</v>
      </c>
      <c r="J27" s="9">
        <f t="shared" si="1"/>
        <v>0.14874945151382191</v>
      </c>
      <c r="K27" s="9">
        <f t="shared" si="1"/>
        <v>0.18497109826589586</v>
      </c>
      <c r="L27" s="9">
        <f t="shared" si="1"/>
        <v>5.5642879597610717E-2</v>
      </c>
      <c r="M27" s="9">
        <f t="shared" si="1"/>
        <v>8.5659021829234572E-2</v>
      </c>
      <c r="N27" s="9">
        <f>+N5/J5-1</f>
        <v>0.1027501909854851</v>
      </c>
      <c r="O27" s="9">
        <f>+O5/K5-1</f>
        <v>8.405253283302061E-2</v>
      </c>
    </row>
    <row r="28" spans="1:25" s="6" customFormat="1" x14ac:dyDescent="0.2">
      <c r="B28" s="6" t="s">
        <v>45</v>
      </c>
      <c r="G28" s="6">
        <f t="shared" ref="G28:G30" si="2">+G8/C8-1</f>
        <v>1.0165662650602409</v>
      </c>
      <c r="H28" s="6">
        <f t="shared" ref="H28:H30" si="3">+H8/D8-1</f>
        <v>0.4311926605504588</v>
      </c>
      <c r="I28" s="6">
        <f t="shared" ref="I28:I30" si="4">+I8/E8-1</f>
        <v>0.27016742770167435</v>
      </c>
      <c r="J28" s="6">
        <f t="shared" ref="J28:J30" si="5">+J8/F8-1</f>
        <v>0.31800766283524906</v>
      </c>
      <c r="K28" s="6">
        <f t="shared" ref="K28:K30" si="6">+K8/G8-1</f>
        <v>0.25018670649738617</v>
      </c>
      <c r="L28" s="6">
        <f t="shared" ref="L28:L30" si="7">+L8/H8-1</f>
        <v>3.1468531468531458E-2</v>
      </c>
      <c r="M28" s="6">
        <f t="shared" ref="M28:M30" si="8">+M8/I8-1</f>
        <v>0.11204313960455359</v>
      </c>
      <c r="N28" s="6">
        <f t="shared" ref="N28:O30" si="9">+N8/J8-1</f>
        <v>0.13590116279069764</v>
      </c>
      <c r="O28" s="6">
        <f t="shared" si="9"/>
        <v>9.6774193548387011E-2</v>
      </c>
    </row>
    <row r="29" spans="1:25" s="6" customFormat="1" x14ac:dyDescent="0.2">
      <c r="B29" s="6" t="s">
        <v>46</v>
      </c>
      <c r="G29" s="6">
        <f t="shared" si="2"/>
        <v>9.3117408906882693E-2</v>
      </c>
      <c r="H29" s="6">
        <f t="shared" si="3"/>
        <v>2.8985507246376718E-2</v>
      </c>
      <c r="I29" s="6">
        <f t="shared" si="4"/>
        <v>0.11913357400722013</v>
      </c>
      <c r="J29" s="6">
        <f t="shared" si="5"/>
        <v>0.15693430656934315</v>
      </c>
      <c r="K29" s="6">
        <f t="shared" si="6"/>
        <v>0.17407407407407405</v>
      </c>
      <c r="L29" s="6">
        <f t="shared" si="7"/>
        <v>0.21126760563380276</v>
      </c>
      <c r="M29" s="6">
        <f t="shared" si="8"/>
        <v>9.6774193548387011E-2</v>
      </c>
      <c r="N29" s="6">
        <f t="shared" si="9"/>
        <v>0.12618296529968465</v>
      </c>
      <c r="O29" s="6">
        <f t="shared" si="9"/>
        <v>7.5709779179810699E-2</v>
      </c>
    </row>
    <row r="30" spans="1:25" s="6" customFormat="1" x14ac:dyDescent="0.2">
      <c r="B30" s="6" t="s">
        <v>47</v>
      </c>
      <c r="G30" s="6">
        <f t="shared" si="2"/>
        <v>0.19230769230769229</v>
      </c>
      <c r="H30" s="6">
        <f t="shared" si="3"/>
        <v>2.7173913043478271E-2</v>
      </c>
      <c r="I30" s="6">
        <f t="shared" si="4"/>
        <v>2.7472527472527375E-2</v>
      </c>
      <c r="J30" s="6">
        <f t="shared" si="5"/>
        <v>1.6393442622950838E-2</v>
      </c>
      <c r="K30" s="6">
        <f t="shared" si="6"/>
        <v>-1.0752688172043001E-2</v>
      </c>
      <c r="L30" s="6">
        <f t="shared" si="7"/>
        <v>2.6455026455026509E-2</v>
      </c>
      <c r="M30" s="6">
        <f t="shared" si="8"/>
        <v>3.7433155080213831E-2</v>
      </c>
      <c r="N30" s="6">
        <f t="shared" si="9"/>
        <v>6.9892473118279508E-2</v>
      </c>
      <c r="O30" s="6">
        <f t="shared" si="9"/>
        <v>1.0869565217391353E-2</v>
      </c>
    </row>
    <row r="32" spans="1:25" x14ac:dyDescent="0.2">
      <c r="B32" s="6" t="s">
        <v>48</v>
      </c>
      <c r="K32" s="4">
        <f>+K33-K46</f>
        <v>3386</v>
      </c>
      <c r="L32" s="4">
        <f>+L33-L46</f>
        <v>3740</v>
      </c>
      <c r="M32" s="4">
        <f>+M33-M46</f>
        <v>1397</v>
      </c>
      <c r="N32" s="4">
        <f>+N33-N46</f>
        <v>674</v>
      </c>
      <c r="O32" s="4">
        <f>+O33-O46</f>
        <v>2637</v>
      </c>
    </row>
    <row r="33" spans="1:15" x14ac:dyDescent="0.2">
      <c r="B33" s="6" t="s">
        <v>22</v>
      </c>
      <c r="K33" s="4">
        <f>5904+2483+44+1198</f>
        <v>9629</v>
      </c>
      <c r="L33" s="4">
        <f>6274+2484+27+1202</f>
        <v>9987</v>
      </c>
      <c r="M33" s="4">
        <f>5056+1436+1155</f>
        <v>7647</v>
      </c>
      <c r="N33" s="4">
        <f>4225+1436+28+1238</f>
        <v>6927</v>
      </c>
      <c r="O33" s="4">
        <f>5686+1936+26+1245</f>
        <v>8893</v>
      </c>
    </row>
    <row r="34" spans="1:15" x14ac:dyDescent="0.2">
      <c r="B34" s="6" t="s">
        <v>49</v>
      </c>
      <c r="K34" s="4">
        <v>2523</v>
      </c>
      <c r="L34" s="4">
        <v>2903</v>
      </c>
      <c r="M34" s="4">
        <v>2753</v>
      </c>
      <c r="N34" s="4">
        <v>2786</v>
      </c>
      <c r="O34" s="4">
        <v>3750</v>
      </c>
    </row>
    <row r="35" spans="1:15" x14ac:dyDescent="0.2">
      <c r="B35" s="6" t="s">
        <v>37</v>
      </c>
      <c r="K35" s="4">
        <v>53</v>
      </c>
      <c r="L35" s="4">
        <v>70</v>
      </c>
      <c r="M35" s="4">
        <v>84</v>
      </c>
      <c r="N35" s="4">
        <v>47</v>
      </c>
      <c r="O35" s="4">
        <v>56</v>
      </c>
    </row>
    <row r="36" spans="1:15" x14ac:dyDescent="0.2">
      <c r="B36" s="6" t="s">
        <v>50</v>
      </c>
      <c r="K36" s="4">
        <v>1119</v>
      </c>
      <c r="L36" s="4">
        <v>1055</v>
      </c>
      <c r="M36" s="4">
        <v>765</v>
      </c>
      <c r="N36" s="4">
        <v>708</v>
      </c>
      <c r="O36" s="4">
        <v>894</v>
      </c>
    </row>
    <row r="37" spans="1:15" x14ac:dyDescent="0.2">
      <c r="B37" s="6" t="s">
        <v>51</v>
      </c>
      <c r="K37" s="4">
        <v>2260</v>
      </c>
      <c r="L37" s="4">
        <v>2318</v>
      </c>
      <c r="M37" s="4">
        <v>2354</v>
      </c>
      <c r="N37" s="4">
        <v>2359</v>
      </c>
      <c r="O37" s="4">
        <v>2353</v>
      </c>
    </row>
    <row r="38" spans="1:15" x14ac:dyDescent="0.2">
      <c r="B38" s="6" t="s">
        <v>52</v>
      </c>
      <c r="K38" s="4">
        <v>353</v>
      </c>
      <c r="L38" s="4">
        <v>348</v>
      </c>
      <c r="M38" s="4">
        <v>330</v>
      </c>
      <c r="N38" s="4">
        <v>357</v>
      </c>
      <c r="O38" s="4">
        <v>341</v>
      </c>
    </row>
    <row r="39" spans="1:15" x14ac:dyDescent="0.2">
      <c r="B39" s="6" t="s">
        <v>53</v>
      </c>
      <c r="K39" s="4">
        <v>703</v>
      </c>
      <c r="L39" s="4">
        <v>665</v>
      </c>
      <c r="M39" s="4">
        <v>595</v>
      </c>
      <c r="N39" s="4">
        <v>586</v>
      </c>
      <c r="O39" s="4">
        <v>621</v>
      </c>
    </row>
    <row r="40" spans="1:15" x14ac:dyDescent="0.2">
      <c r="B40" s="6" t="s">
        <v>54</v>
      </c>
      <c r="K40" s="4">
        <f>1196+7150</f>
        <v>8346</v>
      </c>
      <c r="L40" s="4">
        <f>1180+7150</f>
        <v>8330</v>
      </c>
      <c r="M40" s="4">
        <f>1149+6845</f>
        <v>7994</v>
      </c>
      <c r="N40" s="4">
        <f>1023+6849</f>
        <v>7872</v>
      </c>
      <c r="O40" s="4">
        <f>1006+6847</f>
        <v>7853</v>
      </c>
    </row>
    <row r="41" spans="1:15" s="8" customFormat="1" x14ac:dyDescent="0.2">
      <c r="A41" s="7"/>
      <c r="B41" s="9" t="s">
        <v>55</v>
      </c>
      <c r="K41" s="8">
        <f>+SUM(K33:K40)</f>
        <v>24986</v>
      </c>
      <c r="L41" s="8">
        <f>+SUM(L33:L40)</f>
        <v>25676</v>
      </c>
      <c r="M41" s="8">
        <f>+SUM(M33:M40)</f>
        <v>22522</v>
      </c>
      <c r="N41" s="8">
        <f>+SUM(N33:N40)</f>
        <v>21642</v>
      </c>
      <c r="O41" s="8">
        <f>+SUM(O33:O40)</f>
        <v>24761</v>
      </c>
    </row>
    <row r="42" spans="1:15" x14ac:dyDescent="0.2">
      <c r="B42" s="6" t="s">
        <v>56</v>
      </c>
      <c r="K42" s="4">
        <f>1531+1010</f>
        <v>2541</v>
      </c>
      <c r="L42" s="4">
        <f>1775+1066</f>
        <v>2841</v>
      </c>
      <c r="M42" s="4">
        <f>1887+1130</f>
        <v>3017</v>
      </c>
      <c r="N42" s="4">
        <f>2041+1077</f>
        <v>3118</v>
      </c>
      <c r="O42" s="4">
        <f>1948+1207</f>
        <v>3155</v>
      </c>
    </row>
    <row r="43" spans="1:15" x14ac:dyDescent="0.2">
      <c r="B43" s="6" t="s">
        <v>57</v>
      </c>
      <c r="K43" s="4">
        <f>11036+186</f>
        <v>11222</v>
      </c>
      <c r="L43" s="4">
        <f>11523+185</f>
        <v>11708</v>
      </c>
      <c r="M43" s="4">
        <f>8394+167</f>
        <v>8561</v>
      </c>
      <c r="N43" s="4">
        <f>7723+164</f>
        <v>7887</v>
      </c>
      <c r="O43" s="4">
        <f>11392+177</f>
        <v>11569</v>
      </c>
    </row>
    <row r="44" spans="1:15" x14ac:dyDescent="0.2">
      <c r="B44" s="6" t="s">
        <v>37</v>
      </c>
      <c r="K44" s="4">
        <v>104</v>
      </c>
      <c r="L44" s="4">
        <v>61</v>
      </c>
      <c r="M44" s="4">
        <v>108</v>
      </c>
      <c r="N44" s="4">
        <f>26+33</f>
        <v>59</v>
      </c>
      <c r="O44" s="4">
        <f>25+31</f>
        <v>56</v>
      </c>
    </row>
    <row r="45" spans="1:15" x14ac:dyDescent="0.2">
      <c r="B45" s="6" t="s">
        <v>58</v>
      </c>
      <c r="K45" s="4">
        <v>745</v>
      </c>
      <c r="L45" s="4">
        <v>819</v>
      </c>
      <c r="M45" s="4">
        <v>874</v>
      </c>
      <c r="N45" s="4">
        <v>752</v>
      </c>
      <c r="O45" s="4">
        <v>816</v>
      </c>
    </row>
    <row r="46" spans="1:15" x14ac:dyDescent="0.2">
      <c r="B46" s="6" t="s">
        <v>23</v>
      </c>
      <c r="K46" s="4">
        <v>6243</v>
      </c>
      <c r="L46" s="4">
        <v>6247</v>
      </c>
      <c r="M46" s="4">
        <v>6250</v>
      </c>
      <c r="N46" s="4">
        <v>6253</v>
      </c>
      <c r="O46" s="4">
        <v>6256</v>
      </c>
    </row>
    <row r="47" spans="1:15" x14ac:dyDescent="0.2">
      <c r="B47" s="6"/>
      <c r="K47" s="4">
        <v>35</v>
      </c>
      <c r="L47" s="4">
        <v>35</v>
      </c>
      <c r="M47" s="4">
        <v>34</v>
      </c>
    </row>
    <row r="48" spans="1:15" x14ac:dyDescent="0.2">
      <c r="B48" s="6" t="s">
        <v>52</v>
      </c>
      <c r="K48" s="4">
        <v>305</v>
      </c>
      <c r="L48" s="4">
        <v>302</v>
      </c>
      <c r="M48" s="4">
        <v>288</v>
      </c>
      <c r="N48" s="4">
        <v>314</v>
      </c>
      <c r="O48" s="4">
        <v>301</v>
      </c>
    </row>
    <row r="49" spans="1:15" x14ac:dyDescent="0.2">
      <c r="B49" s="6" t="s">
        <v>35</v>
      </c>
      <c r="K49" s="4">
        <f>501</f>
        <v>501</v>
      </c>
      <c r="L49" s="4">
        <f>447</f>
        <v>447</v>
      </c>
      <c r="M49" s="4">
        <v>464</v>
      </c>
      <c r="N49" s="4">
        <v>473</v>
      </c>
      <c r="O49" s="4">
        <v>472</v>
      </c>
    </row>
    <row r="50" spans="1:15" s="8" customFormat="1" x14ac:dyDescent="0.2">
      <c r="A50" s="7"/>
      <c r="B50" s="9" t="s">
        <v>59</v>
      </c>
      <c r="K50" s="8">
        <f>+SUM(K42:K49)</f>
        <v>21696</v>
      </c>
      <c r="L50" s="8">
        <f>+SUM(L42:L49)</f>
        <v>22460</v>
      </c>
      <c r="M50" s="8">
        <f>+SUM(M42:M49)</f>
        <v>19596</v>
      </c>
      <c r="N50" s="8">
        <f>+SUM(N42:N49)</f>
        <v>18856</v>
      </c>
      <c r="O50" s="8">
        <f>+SUM(O42:O49)</f>
        <v>22625</v>
      </c>
    </row>
    <row r="51" spans="1:15" x14ac:dyDescent="0.2">
      <c r="B51" s="6" t="s">
        <v>60</v>
      </c>
      <c r="K51" s="4">
        <f>+K41-K50</f>
        <v>3290</v>
      </c>
      <c r="L51" s="4">
        <f>+L41-L50</f>
        <v>3216</v>
      </c>
      <c r="M51" s="4">
        <f>+M41-M50</f>
        <v>2926</v>
      </c>
      <c r="N51" s="4">
        <f>+N41-N50</f>
        <v>2786</v>
      </c>
      <c r="O51" s="4">
        <f>+O41-O50</f>
        <v>2136</v>
      </c>
    </row>
    <row r="52" spans="1:15" x14ac:dyDescent="0.2">
      <c r="B52" s="6" t="s">
        <v>61</v>
      </c>
      <c r="K52" s="4">
        <f>+K51+K50</f>
        <v>24986</v>
      </c>
      <c r="L52" s="4">
        <f>+L51+L50</f>
        <v>25676</v>
      </c>
      <c r="M52" s="4">
        <f>+M51+M50</f>
        <v>22522</v>
      </c>
      <c r="N52" s="4">
        <f>+N51+N50</f>
        <v>21642</v>
      </c>
      <c r="O52" s="4">
        <f>+O51+O50</f>
        <v>24761</v>
      </c>
    </row>
    <row r="53" spans="1:15" x14ac:dyDescent="0.2">
      <c r="B53" s="6"/>
    </row>
    <row r="54" spans="1:15" x14ac:dyDescent="0.2">
      <c r="B54" s="6" t="s">
        <v>83</v>
      </c>
      <c r="N54" s="4">
        <f>+SUM(K18:N18)</f>
        <v>1928</v>
      </c>
    </row>
    <row r="55" spans="1:15" s="6" customFormat="1" x14ac:dyDescent="0.2">
      <c r="B55" s="6" t="s">
        <v>66</v>
      </c>
      <c r="K55" s="6">
        <f t="shared" ref="K55:M55" si="10">+$N$54/(K34+K35+K36+K37+K38+K39)</f>
        <v>0.27499643417486808</v>
      </c>
      <c r="L55" s="6">
        <f t="shared" si="10"/>
        <v>0.26199211849436066</v>
      </c>
      <c r="M55" s="6">
        <f t="shared" si="10"/>
        <v>0.28019183258247349</v>
      </c>
      <c r="N55" s="6">
        <f>+$N$54/(N34+N35+N36+N37+N38+N39)</f>
        <v>0.28174777144527252</v>
      </c>
    </row>
    <row r="57" spans="1:15" x14ac:dyDescent="0.2">
      <c r="B57" s="6" t="s">
        <v>62</v>
      </c>
      <c r="K57" s="4">
        <f>+K18</f>
        <v>57</v>
      </c>
      <c r="L57" s="4">
        <f>+L18</f>
        <v>587</v>
      </c>
      <c r="M57" s="4">
        <f>+M18</f>
        <v>825</v>
      </c>
      <c r="N57" s="4">
        <f>+N18</f>
        <v>459</v>
      </c>
      <c r="O57" s="4">
        <f>+O18</f>
        <v>142</v>
      </c>
    </row>
    <row r="58" spans="1:15" x14ac:dyDescent="0.2">
      <c r="B58" s="6" t="s">
        <v>63</v>
      </c>
      <c r="K58" s="4">
        <v>-140</v>
      </c>
      <c r="L58" s="4">
        <f>247-K58</f>
        <v>387</v>
      </c>
      <c r="M58" s="4">
        <f>552-SUM(K58:L58)</f>
        <v>305</v>
      </c>
      <c r="N58" s="4">
        <f>688-SUM(K58:M58)</f>
        <v>136</v>
      </c>
      <c r="O58" s="4">
        <v>-136</v>
      </c>
    </row>
    <row r="59" spans="1:15" x14ac:dyDescent="0.2">
      <c r="B59" s="6" t="s">
        <v>64</v>
      </c>
      <c r="K59" s="4">
        <f>177+15</f>
        <v>192</v>
      </c>
      <c r="L59" s="4">
        <f>361+30-K59</f>
        <v>199</v>
      </c>
      <c r="M59" s="4">
        <f>555+44+312-SUM(K59:L59)</f>
        <v>520</v>
      </c>
      <c r="N59" s="4">
        <f>748+59+426-SUM(K59:M59)</f>
        <v>322</v>
      </c>
      <c r="O59" s="4">
        <f>195+15</f>
        <v>210</v>
      </c>
    </row>
    <row r="60" spans="1:15" s="8" customFormat="1" x14ac:dyDescent="0.2">
      <c r="A60" s="7"/>
      <c r="B60" s="9" t="s">
        <v>67</v>
      </c>
      <c r="K60" s="8">
        <v>103</v>
      </c>
      <c r="L60" s="8">
        <f>209-K60</f>
        <v>106</v>
      </c>
      <c r="M60" s="8">
        <f>314-SUM(K60:L60)</f>
        <v>105</v>
      </c>
      <c r="N60" s="8">
        <f>413-SUM(K60:M60)</f>
        <v>99</v>
      </c>
      <c r="O60" s="8">
        <v>104</v>
      </c>
    </row>
    <row r="61" spans="1:15" x14ac:dyDescent="0.2">
      <c r="B61" s="6" t="s">
        <v>53</v>
      </c>
      <c r="K61" s="4">
        <v>-57</v>
      </c>
      <c r="L61" s="4">
        <f>-17-K61</f>
        <v>40</v>
      </c>
      <c r="M61" s="4">
        <f>49-SUM(K61:L61)</f>
        <v>66</v>
      </c>
      <c r="N61" s="4">
        <f>62-SUM(K61:M61)</f>
        <v>13</v>
      </c>
      <c r="O61" s="4">
        <v>-38</v>
      </c>
    </row>
    <row r="62" spans="1:15" x14ac:dyDescent="0.2">
      <c r="B62" s="6" t="s">
        <v>68</v>
      </c>
      <c r="K62" s="4">
        <v>-8</v>
      </c>
      <c r="L62" s="4">
        <f>-3-K62</f>
        <v>5</v>
      </c>
      <c r="M62" s="4">
        <f>32-SUM(K62:L62)</f>
        <v>35</v>
      </c>
      <c r="N62" s="4">
        <f>-16-SUM(K62:M62)</f>
        <v>-48</v>
      </c>
      <c r="O62" s="4">
        <v>30</v>
      </c>
    </row>
    <row r="63" spans="1:15" x14ac:dyDescent="0.2">
      <c r="B63" s="6" t="s">
        <v>69</v>
      </c>
      <c r="K63" s="4">
        <v>-12</v>
      </c>
      <c r="L63" s="4">
        <f>-26-K63</f>
        <v>-14</v>
      </c>
      <c r="M63" s="4">
        <f>35-SUM(K63:L63)</f>
        <v>61</v>
      </c>
      <c r="N63" s="4">
        <f>0-SUM(K63:M63)</f>
        <v>-35</v>
      </c>
      <c r="O63" s="4">
        <v>41</v>
      </c>
    </row>
    <row r="64" spans="1:15" x14ac:dyDescent="0.2">
      <c r="B64" s="6" t="s">
        <v>70</v>
      </c>
      <c r="K64" s="4">
        <v>-1</v>
      </c>
      <c r="L64" s="4">
        <f>-54-K64</f>
        <v>-53</v>
      </c>
      <c r="M64" s="4">
        <f>73-SUM(K64:L64)</f>
        <v>127</v>
      </c>
      <c r="N64" s="4">
        <f>-16-SUM(K64:M64)</f>
        <v>-89</v>
      </c>
      <c r="O64" s="4">
        <v>9</v>
      </c>
    </row>
    <row r="65" spans="1:15" x14ac:dyDescent="0.2">
      <c r="B65" s="6" t="s">
        <v>35</v>
      </c>
      <c r="K65" s="4">
        <v>14</v>
      </c>
      <c r="L65" s="4">
        <f>28-K65</f>
        <v>14</v>
      </c>
      <c r="M65" s="4">
        <f>34-SUM(K65:L65)</f>
        <v>6</v>
      </c>
      <c r="N65" s="4">
        <f>-25+80-SUM(K65:M65)</f>
        <v>21</v>
      </c>
      <c r="O65" s="4">
        <v>10</v>
      </c>
    </row>
    <row r="66" spans="1:15" x14ac:dyDescent="0.2">
      <c r="B66" s="6" t="s">
        <v>49</v>
      </c>
      <c r="K66" s="4">
        <v>-456</v>
      </c>
      <c r="L66" s="4">
        <f>-846-K66</f>
        <v>-390</v>
      </c>
      <c r="M66" s="4">
        <f>-704-SUM(K66:L66)</f>
        <v>142</v>
      </c>
      <c r="N66" s="4">
        <f>-741-SUM(K66:M66)</f>
        <v>-37</v>
      </c>
      <c r="O66" s="4">
        <v>-974</v>
      </c>
    </row>
    <row r="67" spans="1:15" x14ac:dyDescent="0.2">
      <c r="B67" s="6" t="s">
        <v>50</v>
      </c>
      <c r="K67" s="4">
        <v>-293</v>
      </c>
      <c r="L67" s="4">
        <f>-147-K67</f>
        <v>146</v>
      </c>
      <c r="M67" s="4">
        <f>43-SUM(K67:L67)</f>
        <v>190</v>
      </c>
      <c r="N67" s="4">
        <f>98-SUM(K67:M67)</f>
        <v>55</v>
      </c>
      <c r="O67" s="4">
        <v>-171</v>
      </c>
    </row>
    <row r="68" spans="1:15" x14ac:dyDescent="0.2">
      <c r="B68" s="6" t="s">
        <v>56</v>
      </c>
      <c r="K68" s="4">
        <f>-178+79</f>
        <v>-99</v>
      </c>
      <c r="L68" s="4">
        <f>175+66-K68</f>
        <v>340</v>
      </c>
      <c r="M68" s="4">
        <f>178+223-SUM(K68:L68)</f>
        <v>160</v>
      </c>
      <c r="N68" s="4">
        <f>332+101-SUM(K68:M68)</f>
        <v>32</v>
      </c>
      <c r="O68" s="4">
        <f>-93+219</f>
        <v>126</v>
      </c>
    </row>
    <row r="69" spans="1:15" x14ac:dyDescent="0.2">
      <c r="B69" s="6" t="s">
        <v>37</v>
      </c>
      <c r="K69" s="4">
        <v>29</v>
      </c>
      <c r="L69" s="4">
        <f>-91-K69</f>
        <v>-120</v>
      </c>
      <c r="M69" s="4">
        <f>-55-SUM(K69:L69)</f>
        <v>36</v>
      </c>
      <c r="N69" s="4">
        <f>-91-SUM(K69:M69)</f>
        <v>-36</v>
      </c>
      <c r="O69" s="4">
        <v>-1</v>
      </c>
    </row>
    <row r="70" spans="1:15" x14ac:dyDescent="0.2">
      <c r="B70" s="6" t="s">
        <v>57</v>
      </c>
      <c r="K70" s="4">
        <v>3885</v>
      </c>
      <c r="L70" s="4">
        <f>4371-K70</f>
        <v>486</v>
      </c>
      <c r="M70" s="4">
        <f>1243-SUM(K70:L70)</f>
        <v>-3128</v>
      </c>
      <c r="N70" s="4">
        <f>572-SUM(K70:M70)</f>
        <v>-671</v>
      </c>
      <c r="O70" s="4">
        <v>3669</v>
      </c>
    </row>
    <row r="71" spans="1:15" x14ac:dyDescent="0.2">
      <c r="B71" s="6" t="s">
        <v>71</v>
      </c>
      <c r="K71" s="4">
        <f>+SUM(K66:K70)</f>
        <v>3066</v>
      </c>
      <c r="L71" s="4">
        <f>+SUM(L66:L70)</f>
        <v>462</v>
      </c>
      <c r="M71" s="4">
        <f>+SUM(M66:M70)</f>
        <v>-2600</v>
      </c>
      <c r="N71" s="4">
        <f>+SUM(N66:N70)</f>
        <v>-657</v>
      </c>
      <c r="O71" s="4">
        <f>+SUM(O66:O70)</f>
        <v>2649</v>
      </c>
    </row>
    <row r="72" spans="1:15" s="8" customFormat="1" x14ac:dyDescent="0.2">
      <c r="A72" s="7"/>
      <c r="B72" s="9" t="s">
        <v>72</v>
      </c>
      <c r="K72" s="8">
        <f>+SUM(K58:K65)+K71</f>
        <v>3157</v>
      </c>
      <c r="L72" s="8">
        <f>+SUM(L58:L65)+L71</f>
        <v>1146</v>
      </c>
      <c r="M72" s="8">
        <f>+SUM(M58:M65)+M71</f>
        <v>-1375</v>
      </c>
      <c r="N72" s="8">
        <f>+SUM(N58:N65)+N71</f>
        <v>-238</v>
      </c>
      <c r="O72" s="8">
        <f>+SUM(O58:O65)+O71</f>
        <v>2879</v>
      </c>
    </row>
    <row r="74" spans="1:15" x14ac:dyDescent="0.2">
      <c r="B74" s="6" t="s">
        <v>73</v>
      </c>
      <c r="K74" s="4">
        <v>-233</v>
      </c>
      <c r="L74" s="4">
        <f>-456-K74</f>
        <v>-223</v>
      </c>
      <c r="M74" s="4">
        <f>-669-SUM(K74:L74)</f>
        <v>-213</v>
      </c>
      <c r="N74" s="4">
        <f>-846-SUM(K74:M74)</f>
        <v>-177</v>
      </c>
      <c r="O74" s="4">
        <v>-177</v>
      </c>
    </row>
    <row r="75" spans="1:15" x14ac:dyDescent="0.2">
      <c r="B75" s="6" t="s">
        <v>70</v>
      </c>
      <c r="K75" s="4">
        <v>5</v>
      </c>
      <c r="L75" s="4">
        <f>22-K75</f>
        <v>17</v>
      </c>
      <c r="M75" s="4">
        <f>49-SUM(K75:L75)</f>
        <v>27</v>
      </c>
      <c r="N75" s="4">
        <f>-28+49-SUM(K75:M75)</f>
        <v>-28</v>
      </c>
      <c r="O75" s="4">
        <f>+-69+43</f>
        <v>-26</v>
      </c>
    </row>
    <row r="76" spans="1:15" x14ac:dyDescent="0.2">
      <c r="B76" s="6" t="s">
        <v>35</v>
      </c>
      <c r="K76" s="4">
        <v>33</v>
      </c>
      <c r="L76" s="4">
        <f>46-K76</f>
        <v>13</v>
      </c>
      <c r="M76" s="4">
        <f>-15-SUM(K76:L76)</f>
        <v>-61</v>
      </c>
      <c r="N76" s="4">
        <f>49+25-SUM(K76:M76)</f>
        <v>89</v>
      </c>
      <c r="O76" s="4">
        <v>-37</v>
      </c>
    </row>
    <row r="77" spans="1:15" x14ac:dyDescent="0.2">
      <c r="B77" s="6" t="s">
        <v>74</v>
      </c>
      <c r="K77" s="4">
        <f>+SUM(K74:K76)</f>
        <v>-195</v>
      </c>
      <c r="L77" s="4">
        <f>+SUM(L74:L76)</f>
        <v>-193</v>
      </c>
      <c r="M77" s="4">
        <f>+SUM(M74:M76)</f>
        <v>-247</v>
      </c>
      <c r="N77" s="4">
        <f>+SUM(N74:N76)</f>
        <v>-116</v>
      </c>
      <c r="O77" s="4">
        <f>+SUM(O74:O76)</f>
        <v>-240</v>
      </c>
    </row>
    <row r="79" spans="1:15" x14ac:dyDescent="0.2">
      <c r="B79" s="6" t="s">
        <v>75</v>
      </c>
      <c r="K79" s="4">
        <v>-469</v>
      </c>
      <c r="L79" s="4">
        <f>-1062-K79</f>
        <v>-593</v>
      </c>
      <c r="M79" s="4">
        <f>-1669-SUM(K79:L79)</f>
        <v>-607</v>
      </c>
      <c r="N79" s="4">
        <f>-2137-SUM(K79:M79)</f>
        <v>-468</v>
      </c>
      <c r="O79" s="4">
        <v>-643</v>
      </c>
    </row>
    <row r="80" spans="1:15" x14ac:dyDescent="0.2">
      <c r="B80" s="6" t="s">
        <v>76</v>
      </c>
      <c r="K80" s="4">
        <v>29</v>
      </c>
      <c r="L80" s="4">
        <f>40-K80</f>
        <v>11</v>
      </c>
      <c r="M80" s="4">
        <f>53-SUM(K80:L80)</f>
        <v>13</v>
      </c>
      <c r="N80" s="4">
        <f>101-SUM(K80:M80)</f>
        <v>48</v>
      </c>
      <c r="O80" s="4">
        <v>32</v>
      </c>
    </row>
    <row r="81" spans="2:15" x14ac:dyDescent="0.2">
      <c r="B81" s="6" t="s">
        <v>35</v>
      </c>
      <c r="K81" s="4">
        <v>3</v>
      </c>
      <c r="L81" s="4">
        <f>4-K81</f>
        <v>1</v>
      </c>
      <c r="M81" s="4">
        <f>17-SUM(K81:L81)</f>
        <v>13</v>
      </c>
      <c r="N81" s="4">
        <f>-60-SUM(K81:M81)</f>
        <v>-77</v>
      </c>
      <c r="O81" s="4">
        <v>-20</v>
      </c>
    </row>
    <row r="82" spans="2:15" x14ac:dyDescent="0.2">
      <c r="B82" s="6" t="s">
        <v>77</v>
      </c>
      <c r="K82" s="4">
        <f>SUM(K79:K81)</f>
        <v>-437</v>
      </c>
      <c r="L82" s="4">
        <f>SUM(L79:L81)</f>
        <v>-581</v>
      </c>
      <c r="M82" s="4">
        <f>SUM(M79:M81)</f>
        <v>-581</v>
      </c>
      <c r="N82" s="4">
        <f>SUM(N79:N81)</f>
        <v>-497</v>
      </c>
      <c r="O82" s="4">
        <f>SUM(O79:O81)</f>
        <v>-631</v>
      </c>
    </row>
    <row r="84" spans="2:15" x14ac:dyDescent="0.2">
      <c r="B84" s="6" t="s">
        <v>68</v>
      </c>
      <c r="K84" s="4">
        <v>11</v>
      </c>
      <c r="L84" s="4">
        <f>10-K84</f>
        <v>-1</v>
      </c>
      <c r="M84" s="4">
        <f>-53-SUM(K84:L84)</f>
        <v>-63</v>
      </c>
      <c r="N84" s="4">
        <f>16-SUM(K84:M84)</f>
        <v>69</v>
      </c>
      <c r="O84" s="4">
        <v>-47</v>
      </c>
    </row>
    <row r="85" spans="2:15" x14ac:dyDescent="0.2">
      <c r="B85" s="6" t="s">
        <v>69</v>
      </c>
      <c r="K85" s="4">
        <f>+K72+K77+K82+K84</f>
        <v>2536</v>
      </c>
      <c r="L85" s="4">
        <f>+L72+L77+L82+L84</f>
        <v>371</v>
      </c>
      <c r="M85" s="4">
        <f>+M72+M77+M82+M84</f>
        <v>-2266</v>
      </c>
      <c r="N85" s="4">
        <f>+N72+N77+N82+N84</f>
        <v>-782</v>
      </c>
      <c r="O85" s="4">
        <f>+O72+O77+O82+O84</f>
        <v>1961</v>
      </c>
    </row>
    <row r="87" spans="2:15" x14ac:dyDescent="0.2">
      <c r="B87" s="6" t="s">
        <v>78</v>
      </c>
      <c r="K87" s="4">
        <f t="shared" ref="K87:N87" si="11">+K72+K74</f>
        <v>2924</v>
      </c>
      <c r="L87" s="4">
        <f t="shared" si="11"/>
        <v>923</v>
      </c>
      <c r="M87" s="4">
        <f t="shared" si="11"/>
        <v>-1588</v>
      </c>
      <c r="N87" s="4">
        <f t="shared" si="11"/>
        <v>-415</v>
      </c>
      <c r="O87" s="4">
        <f>+O72+O74</f>
        <v>2702</v>
      </c>
    </row>
    <row r="88" spans="2:15" x14ac:dyDescent="0.2">
      <c r="B88" s="11" t="s">
        <v>65</v>
      </c>
      <c r="N88" s="4">
        <f>+SUM(K87:N87)</f>
        <v>1844</v>
      </c>
    </row>
    <row r="90" spans="2:15" x14ac:dyDescent="0.2">
      <c r="B90" s="6" t="s">
        <v>79</v>
      </c>
      <c r="K90" s="4">
        <f t="shared" ref="K90:M90" si="12">+K87-K60</f>
        <v>2821</v>
      </c>
      <c r="L90" s="4">
        <f t="shared" si="12"/>
        <v>817</v>
      </c>
      <c r="M90" s="4">
        <f t="shared" si="12"/>
        <v>-1693</v>
      </c>
      <c r="N90" s="4">
        <f>+N87-N60</f>
        <v>-514</v>
      </c>
      <c r="O90" s="4">
        <f>+O87-O60</f>
        <v>2598</v>
      </c>
    </row>
    <row r="91" spans="2:15" x14ac:dyDescent="0.2">
      <c r="B91" s="11" t="s">
        <v>65</v>
      </c>
      <c r="N91" s="4">
        <f>+SUM(K90:N90)</f>
        <v>1431</v>
      </c>
    </row>
    <row r="92" spans="2:15" x14ac:dyDescent="0.2">
      <c r="B92" s="4"/>
    </row>
    <row r="93" spans="2:15" x14ac:dyDescent="0.2">
      <c r="B93" s="6" t="s">
        <v>80</v>
      </c>
    </row>
  </sheetData>
  <hyperlinks>
    <hyperlink ref="A1" location="Main!A1" display="Main!A1" xr:uid="{C2A6D9AC-C83C-4413-A8AC-21113308DFA0}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Hesselberth</dc:creator>
  <cp:lastModifiedBy>Dennis Hesselberth</cp:lastModifiedBy>
  <dcterms:created xsi:type="dcterms:W3CDTF">2024-05-09T16:37:16Z</dcterms:created>
  <dcterms:modified xsi:type="dcterms:W3CDTF">2024-05-10T14:19:54Z</dcterms:modified>
</cp:coreProperties>
</file>