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0B9C453F-F80C-43BD-A4C2-997270DDDE75}" xr6:coauthVersionLast="47" xr6:coauthVersionMax="47" xr10:uidLastSave="{00000000-0000-0000-0000-000000000000}"/>
  <bookViews>
    <workbookView xWindow="14235" yWindow="0" windowWidth="14235" windowHeight="15495" xr2:uid="{9E959D24-8EAB-499A-A20C-CA53D523BCFB}"/>
  </bookViews>
  <sheets>
    <sheet name="Main" sheetId="1" r:id="rId1"/>
    <sheet name="Model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" l="1"/>
  <c r="W2" i="4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R4" i="4"/>
  <c r="X4" i="4"/>
  <c r="X48" i="4" s="1"/>
  <c r="AF4" i="4"/>
  <c r="AF15" i="4" s="1"/>
  <c r="R6" i="4"/>
  <c r="AF6" i="4" s="1"/>
  <c r="R8" i="4"/>
  <c r="AF8" i="4" s="1"/>
  <c r="X10" i="4"/>
  <c r="F15" i="4"/>
  <c r="J15" i="4"/>
  <c r="U15" i="4"/>
  <c r="V15" i="4"/>
  <c r="W15" i="4"/>
  <c r="W38" i="4" s="1"/>
  <c r="X15" i="4"/>
  <c r="X38" i="4" s="1"/>
  <c r="Y15" i="4"/>
  <c r="Z15" i="4"/>
  <c r="AA15" i="4"/>
  <c r="AB15" i="4"/>
  <c r="AC15" i="4"/>
  <c r="AD15" i="4"/>
  <c r="AE15" i="4"/>
  <c r="N15" i="4" s="1"/>
  <c r="F16" i="4"/>
  <c r="F24" i="4" s="1"/>
  <c r="J16" i="4"/>
  <c r="N16" i="4"/>
  <c r="F17" i="4"/>
  <c r="J17" i="4"/>
  <c r="J24" i="4" s="1"/>
  <c r="J25" i="4" s="1"/>
  <c r="N17" i="4"/>
  <c r="N24" i="4" s="1"/>
  <c r="F18" i="4"/>
  <c r="J18" i="4"/>
  <c r="N18" i="4"/>
  <c r="F19" i="4"/>
  <c r="J19" i="4"/>
  <c r="N19" i="4"/>
  <c r="F20" i="4"/>
  <c r="J20" i="4"/>
  <c r="N20" i="4"/>
  <c r="F21" i="4"/>
  <c r="J21" i="4"/>
  <c r="N21" i="4"/>
  <c r="F22" i="4"/>
  <c r="J22" i="4"/>
  <c r="N22" i="4"/>
  <c r="F23" i="4"/>
  <c r="J23" i="4"/>
  <c r="N23" i="4"/>
  <c r="C24" i="4"/>
  <c r="D24" i="4"/>
  <c r="E24" i="4"/>
  <c r="G24" i="4"/>
  <c r="H24" i="4"/>
  <c r="H25" i="4" s="1"/>
  <c r="I24" i="4"/>
  <c r="K24" i="4"/>
  <c r="L24" i="4"/>
  <c r="M24" i="4"/>
  <c r="O24" i="4"/>
  <c r="P24" i="4"/>
  <c r="Q24" i="4"/>
  <c r="U24" i="4"/>
  <c r="V24" i="4"/>
  <c r="W24" i="4"/>
  <c r="W42" i="4" s="1"/>
  <c r="X24" i="4"/>
  <c r="Y42" i="4" s="1"/>
  <c r="Y24" i="4"/>
  <c r="Z24" i="4"/>
  <c r="AA24" i="4"/>
  <c r="AB24" i="4"/>
  <c r="AC24" i="4"/>
  <c r="AD24" i="4"/>
  <c r="AE24" i="4"/>
  <c r="AF24" i="4" s="1"/>
  <c r="AG24" i="4" s="1"/>
  <c r="AH24" i="4" s="1"/>
  <c r="AI24" i="4" s="1"/>
  <c r="AJ24" i="4" s="1"/>
  <c r="AK24" i="4" s="1"/>
  <c r="AL24" i="4" s="1"/>
  <c r="AM24" i="4" s="1"/>
  <c r="AN24" i="4" s="1"/>
  <c r="AO24" i="4" s="1"/>
  <c r="C25" i="4"/>
  <c r="C28" i="4" s="1"/>
  <c r="D25" i="4"/>
  <c r="E25" i="4"/>
  <c r="G25" i="4"/>
  <c r="I25" i="4"/>
  <c r="I34" i="4" s="1"/>
  <c r="K25" i="4"/>
  <c r="L25" i="4"/>
  <c r="L28" i="4" s="1"/>
  <c r="M25" i="4"/>
  <c r="O25" i="4"/>
  <c r="O28" i="4" s="1"/>
  <c r="P25" i="4"/>
  <c r="Q25" i="4"/>
  <c r="U25" i="4"/>
  <c r="V25" i="4"/>
  <c r="X25" i="4"/>
  <c r="X34" i="4" s="1"/>
  <c r="Y25" i="4"/>
  <c r="Z25" i="4"/>
  <c r="AA25" i="4"/>
  <c r="AA28" i="4" s="1"/>
  <c r="AB25" i="4"/>
  <c r="AC25" i="4"/>
  <c r="AD25" i="4"/>
  <c r="AD28" i="4" s="1"/>
  <c r="AE25" i="4"/>
  <c r="F26" i="4"/>
  <c r="AC26" i="4"/>
  <c r="AD26" i="4"/>
  <c r="J26" i="4" s="1"/>
  <c r="AE26" i="4"/>
  <c r="N26" i="4" s="1"/>
  <c r="C27" i="4"/>
  <c r="D27" i="4"/>
  <c r="D28" i="4" s="1"/>
  <c r="E27" i="4"/>
  <c r="E28" i="4" s="1"/>
  <c r="G27" i="4"/>
  <c r="H27" i="4"/>
  <c r="K27" i="4"/>
  <c r="L27" i="4"/>
  <c r="M27" i="4"/>
  <c r="O27" i="4"/>
  <c r="P27" i="4"/>
  <c r="P28" i="4" s="1"/>
  <c r="Q27" i="4"/>
  <c r="Q28" i="4" s="1"/>
  <c r="Y27" i="4"/>
  <c r="Y28" i="4" s="1"/>
  <c r="Z27" i="4"/>
  <c r="AA27" i="4"/>
  <c r="AB27" i="4"/>
  <c r="AB28" i="4" s="1"/>
  <c r="AC27" i="4"/>
  <c r="F27" i="4" s="1"/>
  <c r="AD27" i="4"/>
  <c r="J27" i="4" s="1"/>
  <c r="AE27" i="4"/>
  <c r="N27" i="4" s="1"/>
  <c r="G28" i="4"/>
  <c r="G36" i="4" s="1"/>
  <c r="K28" i="4"/>
  <c r="K30" i="4" s="1"/>
  <c r="M28" i="4"/>
  <c r="U28" i="4"/>
  <c r="V28" i="4"/>
  <c r="V36" i="4" s="1"/>
  <c r="Z28" i="4"/>
  <c r="Z30" i="4" s="1"/>
  <c r="AC28" i="4"/>
  <c r="AC30" i="4" s="1"/>
  <c r="F29" i="4"/>
  <c r="J29" i="4"/>
  <c r="N29" i="4"/>
  <c r="G30" i="4"/>
  <c r="G35" i="4" s="1"/>
  <c r="M30" i="4"/>
  <c r="U30" i="4"/>
  <c r="U35" i="4" s="1"/>
  <c r="V30" i="4"/>
  <c r="V35" i="4" s="1"/>
  <c r="M31" i="4"/>
  <c r="T32" i="4"/>
  <c r="AF32" i="4"/>
  <c r="AG32" i="4"/>
  <c r="AH32" i="4" s="1"/>
  <c r="AI32" i="4" s="1"/>
  <c r="AJ32" i="4" s="1"/>
  <c r="AK32" i="4" s="1"/>
  <c r="AL32" i="4" s="1"/>
  <c r="AM32" i="4" s="1"/>
  <c r="AN32" i="4" s="1"/>
  <c r="AO32" i="4" s="1"/>
  <c r="C34" i="4"/>
  <c r="D34" i="4"/>
  <c r="E34" i="4"/>
  <c r="G34" i="4"/>
  <c r="K34" i="4"/>
  <c r="L34" i="4"/>
  <c r="M34" i="4"/>
  <c r="O34" i="4"/>
  <c r="P34" i="4"/>
  <c r="Q34" i="4"/>
  <c r="U34" i="4"/>
  <c r="V34" i="4"/>
  <c r="Y34" i="4"/>
  <c r="Z34" i="4"/>
  <c r="AA34" i="4"/>
  <c r="AB34" i="4"/>
  <c r="AC34" i="4"/>
  <c r="AD34" i="4"/>
  <c r="AE34" i="4"/>
  <c r="M35" i="4"/>
  <c r="K36" i="4"/>
  <c r="M36" i="4"/>
  <c r="U36" i="4"/>
  <c r="Z36" i="4"/>
  <c r="AC36" i="4"/>
  <c r="G38" i="4"/>
  <c r="H38" i="4"/>
  <c r="I38" i="4"/>
  <c r="J38" i="4"/>
  <c r="K38" i="4"/>
  <c r="L38" i="4"/>
  <c r="M38" i="4"/>
  <c r="O38" i="4"/>
  <c r="P38" i="4"/>
  <c r="Q38" i="4"/>
  <c r="V38" i="4"/>
  <c r="Z38" i="4"/>
  <c r="AA38" i="4"/>
  <c r="AB38" i="4"/>
  <c r="AC38" i="4"/>
  <c r="AD38" i="4"/>
  <c r="AE38" i="4"/>
  <c r="G39" i="4"/>
  <c r="H39" i="4"/>
  <c r="I39" i="4"/>
  <c r="J39" i="4"/>
  <c r="K39" i="4"/>
  <c r="L39" i="4"/>
  <c r="M39" i="4"/>
  <c r="N39" i="4"/>
  <c r="V39" i="4"/>
  <c r="W39" i="4"/>
  <c r="Z39" i="4"/>
  <c r="AA39" i="4"/>
  <c r="AB39" i="4"/>
  <c r="AC39" i="4"/>
  <c r="AD39" i="4"/>
  <c r="AE39" i="4"/>
  <c r="AR39" i="4"/>
  <c r="G40" i="4"/>
  <c r="H40" i="4"/>
  <c r="I40" i="4"/>
  <c r="J40" i="4"/>
  <c r="K40" i="4"/>
  <c r="L40" i="4"/>
  <c r="M40" i="4"/>
  <c r="N40" i="4"/>
  <c r="V40" i="4"/>
  <c r="W40" i="4"/>
  <c r="X40" i="4"/>
  <c r="Y40" i="4"/>
  <c r="Z40" i="4"/>
  <c r="AA40" i="4"/>
  <c r="AB40" i="4"/>
  <c r="AC40" i="4"/>
  <c r="AD40" i="4"/>
  <c r="AE40" i="4"/>
  <c r="G41" i="4"/>
  <c r="H41" i="4"/>
  <c r="I41" i="4"/>
  <c r="J41" i="4"/>
  <c r="K41" i="4"/>
  <c r="L41" i="4"/>
  <c r="M41" i="4"/>
  <c r="N41" i="4"/>
  <c r="O41" i="4"/>
  <c r="P41" i="4"/>
  <c r="Q41" i="4"/>
  <c r="V41" i="4"/>
  <c r="W41" i="4"/>
  <c r="X41" i="4"/>
  <c r="Y41" i="4"/>
  <c r="Z41" i="4"/>
  <c r="AA41" i="4"/>
  <c r="AB41" i="4"/>
  <c r="AC41" i="4"/>
  <c r="AD41" i="4"/>
  <c r="AE41" i="4"/>
  <c r="V42" i="4"/>
  <c r="Z42" i="4"/>
  <c r="AA42" i="4"/>
  <c r="AB42" i="4"/>
  <c r="AC42" i="4"/>
  <c r="AD42" i="4"/>
  <c r="AE42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U44" i="4"/>
  <c r="V44" i="4"/>
  <c r="W44" i="4"/>
  <c r="X44" i="4"/>
  <c r="Y44" i="4"/>
  <c r="Z44" i="4"/>
  <c r="AA44" i="4"/>
  <c r="AB44" i="4"/>
  <c r="AC44" i="4"/>
  <c r="AD44" i="4"/>
  <c r="AE44" i="4"/>
  <c r="C45" i="4"/>
  <c r="D45" i="4"/>
  <c r="E45" i="4"/>
  <c r="F45" i="4"/>
  <c r="G45" i="4"/>
  <c r="H45" i="4"/>
  <c r="I45" i="4"/>
  <c r="J45" i="4"/>
  <c r="K45" i="4"/>
  <c r="L45" i="4"/>
  <c r="M45" i="4"/>
  <c r="N45" i="4"/>
  <c r="U45" i="4"/>
  <c r="V45" i="4"/>
  <c r="W45" i="4"/>
  <c r="X45" i="4"/>
  <c r="Y45" i="4"/>
  <c r="Z45" i="4"/>
  <c r="AA45" i="4"/>
  <c r="AB45" i="4"/>
  <c r="AC45" i="4"/>
  <c r="AD45" i="4"/>
  <c r="AE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U46" i="4"/>
  <c r="V46" i="4"/>
  <c r="W46" i="4"/>
  <c r="X46" i="4"/>
  <c r="Y46" i="4"/>
  <c r="Z46" i="4"/>
  <c r="AA46" i="4"/>
  <c r="AB46" i="4"/>
  <c r="AC46" i="4"/>
  <c r="AD46" i="4"/>
  <c r="AE46" i="4"/>
  <c r="U48" i="4"/>
  <c r="V48" i="4"/>
  <c r="W48" i="4"/>
  <c r="Y48" i="4"/>
  <c r="Z48" i="4"/>
  <c r="AA48" i="4"/>
  <c r="AB48" i="4"/>
  <c r="AC48" i="4"/>
  <c r="AD48" i="4"/>
  <c r="AE48" i="4"/>
  <c r="U49" i="4"/>
  <c r="V49" i="4"/>
  <c r="W49" i="4"/>
  <c r="X49" i="4"/>
  <c r="Y49" i="4"/>
  <c r="Z49" i="4"/>
  <c r="AA49" i="4"/>
  <c r="AB49" i="4"/>
  <c r="AC49" i="4"/>
  <c r="AD49" i="4"/>
  <c r="AE49" i="4"/>
  <c r="U50" i="4"/>
  <c r="V50" i="4"/>
  <c r="W50" i="4"/>
  <c r="X50" i="4"/>
  <c r="Y50" i="4"/>
  <c r="Z50" i="4"/>
  <c r="AA50" i="4"/>
  <c r="AB50" i="4"/>
  <c r="AC50" i="4"/>
  <c r="AD50" i="4"/>
  <c r="AE50" i="4"/>
  <c r="U51" i="4"/>
  <c r="V51" i="4"/>
  <c r="W51" i="4"/>
  <c r="X51" i="4"/>
  <c r="Y51" i="4"/>
  <c r="Z51" i="4"/>
  <c r="AA51" i="4"/>
  <c r="AB51" i="4"/>
  <c r="AC51" i="4"/>
  <c r="AD51" i="4"/>
  <c r="AE51" i="4"/>
  <c r="U52" i="4"/>
  <c r="V52" i="4"/>
  <c r="W52" i="4"/>
  <c r="X52" i="4"/>
  <c r="Y52" i="4"/>
  <c r="Z52" i="4"/>
  <c r="AA52" i="4"/>
  <c r="AB52" i="4"/>
  <c r="AC52" i="4"/>
  <c r="AD52" i="4"/>
  <c r="AE52" i="4"/>
  <c r="M55" i="4"/>
  <c r="P55" i="4"/>
  <c r="Q55" i="4"/>
  <c r="K62" i="4"/>
  <c r="K66" i="4" s="1"/>
  <c r="L62" i="4"/>
  <c r="L66" i="4" s="1"/>
  <c r="M62" i="4"/>
  <c r="M66" i="4" s="1"/>
  <c r="N62" i="4"/>
  <c r="O62" i="4"/>
  <c r="O66" i="4" s="1"/>
  <c r="P62" i="4"/>
  <c r="P66" i="4" s="1"/>
  <c r="Q62" i="4"/>
  <c r="AE62" i="4"/>
  <c r="L63" i="4"/>
  <c r="N66" i="4"/>
  <c r="Q66" i="4"/>
  <c r="AE66" i="4"/>
  <c r="K67" i="4"/>
  <c r="K76" i="4" s="1"/>
  <c r="K78" i="4" s="1"/>
  <c r="L67" i="4"/>
  <c r="L55" i="4" s="1"/>
  <c r="M67" i="4"/>
  <c r="N67" i="4"/>
  <c r="N55" i="4" s="1"/>
  <c r="O67" i="4"/>
  <c r="O55" i="4" s="1"/>
  <c r="P67" i="4"/>
  <c r="Q67" i="4"/>
  <c r="Q84" i="4" s="1"/>
  <c r="AE67" i="4"/>
  <c r="AE55" i="4" s="1"/>
  <c r="K70" i="4"/>
  <c r="L70" i="4"/>
  <c r="M70" i="4"/>
  <c r="M76" i="4" s="1"/>
  <c r="M78" i="4" s="1"/>
  <c r="N70" i="4"/>
  <c r="N76" i="4" s="1"/>
  <c r="N78" i="4" s="1"/>
  <c r="O70" i="4"/>
  <c r="P70" i="4"/>
  <c r="Q70" i="4"/>
  <c r="AE70" i="4"/>
  <c r="P76" i="4"/>
  <c r="P78" i="4" s="1"/>
  <c r="Q76" i="4"/>
  <c r="Q78" i="4" s="1"/>
  <c r="AE76" i="4"/>
  <c r="AE78" i="4" s="1"/>
  <c r="L84" i="4"/>
  <c r="M84" i="4"/>
  <c r="N84" i="4"/>
  <c r="O84" i="4"/>
  <c r="P84" i="4"/>
  <c r="AE84" i="4"/>
  <c r="M87" i="4"/>
  <c r="L88" i="4"/>
  <c r="N88" i="4" s="1"/>
  <c r="M88" i="4"/>
  <c r="P88" i="4"/>
  <c r="Q88" i="4"/>
  <c r="L89" i="4"/>
  <c r="N89" i="4" s="1"/>
  <c r="M89" i="4"/>
  <c r="P89" i="4"/>
  <c r="Q89" i="4"/>
  <c r="P90" i="4"/>
  <c r="Q90" i="4" s="1"/>
  <c r="P91" i="4"/>
  <c r="Q91" i="4"/>
  <c r="P92" i="4"/>
  <c r="Q92" i="4"/>
  <c r="P93" i="4"/>
  <c r="Q93" i="4"/>
  <c r="P94" i="4"/>
  <c r="P98" i="4" s="1"/>
  <c r="P95" i="4"/>
  <c r="Q95" i="4"/>
  <c r="P96" i="4"/>
  <c r="Q96" i="4" s="1"/>
  <c r="P97" i="4"/>
  <c r="Q97" i="4"/>
  <c r="L98" i="4"/>
  <c r="M98" i="4"/>
  <c r="N98" i="4"/>
  <c r="O98" i="4"/>
  <c r="O115" i="4" s="1"/>
  <c r="L100" i="4"/>
  <c r="M100" i="4"/>
  <c r="N100" i="4" s="1"/>
  <c r="P100" i="4"/>
  <c r="P105" i="4" s="1"/>
  <c r="Q100" i="4"/>
  <c r="R100" i="4"/>
  <c r="O103" i="4"/>
  <c r="P103" i="4"/>
  <c r="Q103" i="4"/>
  <c r="Q105" i="4" s="1"/>
  <c r="P104" i="4"/>
  <c r="Q104" i="4"/>
  <c r="O105" i="4"/>
  <c r="L107" i="4"/>
  <c r="M107" i="4" s="1"/>
  <c r="P107" i="4"/>
  <c r="Q107" i="4" s="1"/>
  <c r="Q112" i="4" s="1"/>
  <c r="U107" i="4"/>
  <c r="V107" i="4"/>
  <c r="W107" i="4"/>
  <c r="X107" i="4"/>
  <c r="Y107" i="4"/>
  <c r="Z107" i="4"/>
  <c r="AA107" i="4"/>
  <c r="AB107" i="4"/>
  <c r="L108" i="4"/>
  <c r="M108" i="4"/>
  <c r="N108" i="4"/>
  <c r="P108" i="4"/>
  <c r="Q108" i="4"/>
  <c r="L109" i="4"/>
  <c r="M109" i="4"/>
  <c r="N109" i="4"/>
  <c r="P109" i="4"/>
  <c r="Q109" i="4" s="1"/>
  <c r="L110" i="4"/>
  <c r="M110" i="4" s="1"/>
  <c r="P110" i="4"/>
  <c r="Q110" i="4"/>
  <c r="Q111" i="4"/>
  <c r="O112" i="4"/>
  <c r="P114" i="4"/>
  <c r="Q114" i="4" s="1"/>
  <c r="K117" i="4"/>
  <c r="L117" i="4"/>
  <c r="M117" i="4"/>
  <c r="U117" i="4"/>
  <c r="V117" i="4"/>
  <c r="W117" i="4"/>
  <c r="X117" i="4"/>
  <c r="Y117" i="4"/>
  <c r="Z117" i="4"/>
  <c r="AA117" i="4"/>
  <c r="AB117" i="4"/>
  <c r="AC117" i="4"/>
  <c r="AD117" i="4"/>
  <c r="AE117" i="4"/>
  <c r="K126" i="4"/>
  <c r="L126" i="4"/>
  <c r="M126" i="4"/>
  <c r="M147" i="4" s="1"/>
  <c r="O126" i="4"/>
  <c r="P126" i="4"/>
  <c r="Q126" i="4"/>
  <c r="Q154" i="4" s="1"/>
  <c r="K129" i="4"/>
  <c r="O155" i="4" s="1"/>
  <c r="L129" i="4"/>
  <c r="P155" i="4" s="1"/>
  <c r="M129" i="4"/>
  <c r="O129" i="4"/>
  <c r="P129" i="4"/>
  <c r="Q129" i="4"/>
  <c r="M131" i="4"/>
  <c r="O131" i="4"/>
  <c r="P131" i="4"/>
  <c r="Q131" i="4"/>
  <c r="K137" i="4"/>
  <c r="O158" i="4" s="1"/>
  <c r="L137" i="4"/>
  <c r="L142" i="4" s="1"/>
  <c r="L121" i="4" s="1"/>
  <c r="M137" i="4"/>
  <c r="O137" i="4"/>
  <c r="P137" i="4"/>
  <c r="Q137" i="4"/>
  <c r="K140" i="4"/>
  <c r="L140" i="4"/>
  <c r="M140" i="4"/>
  <c r="M142" i="4" s="1"/>
  <c r="O140" i="4"/>
  <c r="O142" i="4" s="1"/>
  <c r="P140" i="4"/>
  <c r="P142" i="4" s="1"/>
  <c r="Q140" i="4"/>
  <c r="Q142" i="4" s="1"/>
  <c r="K142" i="4"/>
  <c r="K121" i="4" s="1"/>
  <c r="K144" i="4"/>
  <c r="L144" i="4"/>
  <c r="M144" i="4"/>
  <c r="O144" i="4"/>
  <c r="P144" i="4"/>
  <c r="Q144" i="4"/>
  <c r="K145" i="4"/>
  <c r="L145" i="4"/>
  <c r="M145" i="4"/>
  <c r="O145" i="4"/>
  <c r="P145" i="4"/>
  <c r="Q145" i="4"/>
  <c r="K146" i="4"/>
  <c r="L146" i="4"/>
  <c r="M146" i="4"/>
  <c r="O146" i="4"/>
  <c r="P146" i="4"/>
  <c r="Q146" i="4"/>
  <c r="K147" i="4"/>
  <c r="L147" i="4"/>
  <c r="O147" i="4"/>
  <c r="P147" i="4"/>
  <c r="Q147" i="4"/>
  <c r="K148" i="4"/>
  <c r="L148" i="4"/>
  <c r="M148" i="4"/>
  <c r="O148" i="4"/>
  <c r="P148" i="4"/>
  <c r="Q148" i="4"/>
  <c r="K149" i="4"/>
  <c r="L149" i="4"/>
  <c r="M149" i="4"/>
  <c r="O149" i="4"/>
  <c r="P149" i="4"/>
  <c r="Q149" i="4"/>
  <c r="M150" i="4"/>
  <c r="O150" i="4"/>
  <c r="P150" i="4"/>
  <c r="Q150" i="4"/>
  <c r="K151" i="4"/>
  <c r="L151" i="4"/>
  <c r="M151" i="4"/>
  <c r="O151" i="4"/>
  <c r="P151" i="4"/>
  <c r="Q151" i="4"/>
  <c r="O154" i="4"/>
  <c r="P154" i="4"/>
  <c r="Q155" i="4"/>
  <c r="Q156" i="4"/>
  <c r="Q158" i="4"/>
  <c r="O159" i="4"/>
  <c r="P159" i="4"/>
  <c r="L7" i="1"/>
  <c r="L5" i="1"/>
  <c r="L8" i="1" s="1"/>
  <c r="L10" i="1" s="1"/>
  <c r="D30" i="4" l="1"/>
  <c r="D36" i="4"/>
  <c r="M152" i="4"/>
  <c r="M121" i="4"/>
  <c r="P115" i="4"/>
  <c r="P117" i="4"/>
  <c r="AB30" i="4"/>
  <c r="AB36" i="4"/>
  <c r="E36" i="4"/>
  <c r="E30" i="4"/>
  <c r="Z87" i="4"/>
  <c r="Z35" i="4"/>
  <c r="Z31" i="4"/>
  <c r="C30" i="4"/>
  <c r="C36" i="4"/>
  <c r="H48" i="4"/>
  <c r="F49" i="4"/>
  <c r="G50" i="4"/>
  <c r="E51" i="4"/>
  <c r="F52" i="4"/>
  <c r="I48" i="4"/>
  <c r="G49" i="4"/>
  <c r="H50" i="4"/>
  <c r="F51" i="4"/>
  <c r="G52" i="4"/>
  <c r="Q48" i="4"/>
  <c r="N51" i="4"/>
  <c r="F48" i="4"/>
  <c r="J48" i="4"/>
  <c r="H49" i="4"/>
  <c r="I50" i="4"/>
  <c r="G51" i="4"/>
  <c r="H52" i="4"/>
  <c r="C52" i="4"/>
  <c r="D52" i="4"/>
  <c r="N25" i="4"/>
  <c r="K48" i="4"/>
  <c r="I49" i="4"/>
  <c r="J50" i="4"/>
  <c r="H51" i="4"/>
  <c r="I52" i="4"/>
  <c r="C49" i="4"/>
  <c r="P52" i="4"/>
  <c r="L48" i="4"/>
  <c r="J49" i="4"/>
  <c r="K50" i="4"/>
  <c r="I51" i="4"/>
  <c r="J52" i="4"/>
  <c r="D50" i="4"/>
  <c r="M48" i="4"/>
  <c r="K49" i="4"/>
  <c r="L50" i="4"/>
  <c r="J51" i="4"/>
  <c r="K52" i="4"/>
  <c r="P50" i="4"/>
  <c r="N38" i="4"/>
  <c r="N48" i="4"/>
  <c r="L49" i="4"/>
  <c r="M50" i="4"/>
  <c r="K51" i="4"/>
  <c r="L52" i="4"/>
  <c r="O52" i="4"/>
  <c r="Q50" i="4"/>
  <c r="C48" i="4"/>
  <c r="O48" i="4"/>
  <c r="M49" i="4"/>
  <c r="N50" i="4"/>
  <c r="L51" i="4"/>
  <c r="M52" i="4"/>
  <c r="E50" i="4"/>
  <c r="D48" i="4"/>
  <c r="P48" i="4"/>
  <c r="N49" i="4"/>
  <c r="C50" i="4"/>
  <c r="O50" i="4"/>
  <c r="M51" i="4"/>
  <c r="N52" i="4"/>
  <c r="E48" i="4"/>
  <c r="D49" i="4"/>
  <c r="C51" i="4"/>
  <c r="G48" i="4"/>
  <c r="E49" i="4"/>
  <c r="F50" i="4"/>
  <c r="D51" i="4"/>
  <c r="E52" i="4"/>
  <c r="Q52" i="4"/>
  <c r="F25" i="4"/>
  <c r="N117" i="4"/>
  <c r="Y30" i="4"/>
  <c r="Y36" i="4"/>
  <c r="P30" i="4"/>
  <c r="P36" i="4"/>
  <c r="Q36" i="4"/>
  <c r="Q30" i="4"/>
  <c r="K87" i="4"/>
  <c r="K35" i="4"/>
  <c r="K31" i="4"/>
  <c r="O36" i="4"/>
  <c r="O30" i="4"/>
  <c r="AF25" i="4"/>
  <c r="AG15" i="4"/>
  <c r="AF38" i="4"/>
  <c r="AD30" i="4"/>
  <c r="AD36" i="4"/>
  <c r="AC87" i="4"/>
  <c r="AC35" i="4"/>
  <c r="AC31" i="4"/>
  <c r="Q121" i="4"/>
  <c r="Q152" i="4"/>
  <c r="Q160" i="4"/>
  <c r="L30" i="4"/>
  <c r="L36" i="4"/>
  <c r="P121" i="4"/>
  <c r="P152" i="4"/>
  <c r="P160" i="4"/>
  <c r="J28" i="4"/>
  <c r="M83" i="4"/>
  <c r="M85" i="4" s="1"/>
  <c r="J34" i="4"/>
  <c r="AF26" i="4"/>
  <c r="H34" i="4"/>
  <c r="K83" i="4"/>
  <c r="H28" i="4"/>
  <c r="O121" i="4"/>
  <c r="O160" i="4"/>
  <c r="O152" i="4"/>
  <c r="AA30" i="4"/>
  <c r="AA36" i="4"/>
  <c r="W25" i="4"/>
  <c r="Q159" i="4"/>
  <c r="Q94" i="4"/>
  <c r="Q98" i="4" s="1"/>
  <c r="L83" i="4"/>
  <c r="L85" i="4" s="1"/>
  <c r="K55" i="4"/>
  <c r="X28" i="4"/>
  <c r="I28" i="4"/>
  <c r="P112" i="4"/>
  <c r="X42" i="4"/>
  <c r="P158" i="4"/>
  <c r="O117" i="4"/>
  <c r="V87" i="4"/>
  <c r="K84" i="4"/>
  <c r="O76" i="4"/>
  <c r="O78" i="4" s="1"/>
  <c r="Y39" i="4"/>
  <c r="AE28" i="4"/>
  <c r="U87" i="4"/>
  <c r="X39" i="4"/>
  <c r="L150" i="4"/>
  <c r="L131" i="4"/>
  <c r="N107" i="4"/>
  <c r="K150" i="4"/>
  <c r="K131" i="4"/>
  <c r="N110" i="4"/>
  <c r="L76" i="4"/>
  <c r="L78" i="4" s="1"/>
  <c r="V31" i="4"/>
  <c r="G31" i="4"/>
  <c r="U31" i="4"/>
  <c r="Y38" i="4"/>
  <c r="Q117" i="4" l="1"/>
  <c r="Q115" i="4"/>
  <c r="J30" i="4"/>
  <c r="J36" i="4"/>
  <c r="K152" i="4"/>
  <c r="O156" i="4"/>
  <c r="AA35" i="4"/>
  <c r="AA31" i="4"/>
  <c r="AA87" i="4"/>
  <c r="AD87" i="4"/>
  <c r="AD35" i="4"/>
  <c r="AD31" i="4"/>
  <c r="E35" i="4"/>
  <c r="E31" i="4"/>
  <c r="P31" i="4"/>
  <c r="P87" i="4"/>
  <c r="P35" i="4"/>
  <c r="AB87" i="4"/>
  <c r="AB31" i="4"/>
  <c r="AB35" i="4"/>
  <c r="W34" i="4"/>
  <c r="W28" i="4"/>
  <c r="Q35" i="4"/>
  <c r="Q31" i="4"/>
  <c r="Q87" i="4"/>
  <c r="AG25" i="4"/>
  <c r="AG38" i="4"/>
  <c r="AH15" i="4"/>
  <c r="L152" i="4"/>
  <c r="P156" i="4"/>
  <c r="AF34" i="4"/>
  <c r="AF28" i="4"/>
  <c r="Y87" i="4"/>
  <c r="Y35" i="4"/>
  <c r="Y31" i="4"/>
  <c r="I30" i="4"/>
  <c r="I36" i="4"/>
  <c r="H36" i="4"/>
  <c r="H30" i="4"/>
  <c r="L35" i="4"/>
  <c r="L31" i="4"/>
  <c r="L87" i="4"/>
  <c r="O87" i="4"/>
  <c r="O35" i="4"/>
  <c r="O31" i="4"/>
  <c r="K85" i="4"/>
  <c r="X30" i="4"/>
  <c r="X36" i="4"/>
  <c r="F34" i="4"/>
  <c r="F28" i="4"/>
  <c r="C35" i="4"/>
  <c r="C31" i="4"/>
  <c r="AE30" i="4"/>
  <c r="AE36" i="4"/>
  <c r="AE83" i="4" s="1"/>
  <c r="AE85" i="4" s="1"/>
  <c r="N83" i="4"/>
  <c r="N85" i="4" s="1"/>
  <c r="O83" i="4"/>
  <c r="O85" i="4" s="1"/>
  <c r="P83" i="4"/>
  <c r="P85" i="4" s="1"/>
  <c r="N34" i="4"/>
  <c r="N28" i="4"/>
  <c r="Q83" i="4"/>
  <c r="Q85" i="4" s="1"/>
  <c r="D31" i="4"/>
  <c r="D35" i="4"/>
  <c r="AG34" i="4" l="1"/>
  <c r="I35" i="4"/>
  <c r="I31" i="4"/>
  <c r="L80" i="4"/>
  <c r="L81" i="4" s="1"/>
  <c r="AF29" i="4"/>
  <c r="AF36" i="4" s="1"/>
  <c r="X35" i="4"/>
  <c r="X31" i="4"/>
  <c r="X87" i="4"/>
  <c r="N36" i="4"/>
  <c r="N30" i="4"/>
  <c r="W36" i="4"/>
  <c r="W30" i="4"/>
  <c r="AE31" i="4"/>
  <c r="AE80" i="4"/>
  <c r="AE81" i="4" s="1"/>
  <c r="AE87" i="4"/>
  <c r="AE35" i="4"/>
  <c r="AI15" i="4"/>
  <c r="AH38" i="4"/>
  <c r="AH25" i="4"/>
  <c r="F36" i="4"/>
  <c r="F30" i="4"/>
  <c r="H35" i="4"/>
  <c r="H31" i="4"/>
  <c r="K80" i="4"/>
  <c r="K81" i="4" s="1"/>
  <c r="J35" i="4"/>
  <c r="J31" i="4"/>
  <c r="M80" i="4"/>
  <c r="M81" i="4" s="1"/>
  <c r="Q80" i="4" l="1"/>
  <c r="N87" i="4"/>
  <c r="N35" i="4"/>
  <c r="N31" i="4"/>
  <c r="P80" i="4"/>
  <c r="P81" i="4" s="1"/>
  <c r="N80" i="4"/>
  <c r="N81" i="4" s="1"/>
  <c r="O80" i="4"/>
  <c r="O81" i="4" s="1"/>
  <c r="F35" i="4"/>
  <c r="F31" i="4"/>
  <c r="W35" i="4"/>
  <c r="W31" i="4"/>
  <c r="W87" i="4"/>
  <c r="AH34" i="4"/>
  <c r="AI25" i="4"/>
  <c r="AJ15" i="4"/>
  <c r="AI38" i="4"/>
  <c r="AF30" i="4"/>
  <c r="AF35" i="4" l="1"/>
  <c r="AF31" i="4"/>
  <c r="AF55" i="4"/>
  <c r="AJ38" i="4"/>
  <c r="AJ25" i="4"/>
  <c r="AK15" i="4"/>
  <c r="AI34" i="4"/>
  <c r="Q81" i="4"/>
  <c r="AJ34" i="4" l="1"/>
  <c r="AG26" i="4"/>
  <c r="AG28" i="4" s="1"/>
  <c r="AL15" i="4"/>
  <c r="AK38" i="4"/>
  <c r="AK25" i="4"/>
  <c r="AL25" i="4" l="1"/>
  <c r="AM15" i="4"/>
  <c r="AL38" i="4"/>
  <c r="AK34" i="4"/>
  <c r="AG29" i="4"/>
  <c r="AG36" i="4" s="1"/>
  <c r="AG30" i="4" l="1"/>
  <c r="AM25" i="4"/>
  <c r="AN15" i="4"/>
  <c r="AM38" i="4"/>
  <c r="AL34" i="4"/>
  <c r="AG35" i="4" l="1"/>
  <c r="AG31" i="4"/>
  <c r="AG55" i="4"/>
  <c r="AN25" i="4"/>
  <c r="AO15" i="4"/>
  <c r="AN38" i="4"/>
  <c r="AM34" i="4"/>
  <c r="AO25" i="4" l="1"/>
  <c r="AO38" i="4"/>
  <c r="AN34" i="4"/>
  <c r="AH26" i="4"/>
  <c r="AH28" i="4" s="1"/>
  <c r="AH29" i="4" l="1"/>
  <c r="AH36" i="4" s="1"/>
  <c r="AO34" i="4"/>
  <c r="AH30" i="4" l="1"/>
  <c r="AH35" i="4" l="1"/>
  <c r="AH31" i="4"/>
  <c r="AH55" i="4"/>
  <c r="AI26" i="4" l="1"/>
  <c r="AI28" i="4" s="1"/>
  <c r="AI29" i="4" l="1"/>
  <c r="AI36" i="4" s="1"/>
  <c r="AI30" i="4"/>
  <c r="AI35" i="4" l="1"/>
  <c r="AI31" i="4"/>
  <c r="AI55" i="4"/>
  <c r="AJ26" i="4" l="1"/>
  <c r="AJ28" i="4" s="1"/>
  <c r="AJ29" i="4" l="1"/>
  <c r="AJ36" i="4" s="1"/>
  <c r="AJ30" i="4"/>
  <c r="AJ35" i="4" l="1"/>
  <c r="AJ31" i="4"/>
  <c r="AJ55" i="4"/>
  <c r="AK26" i="4" l="1"/>
  <c r="AK28" i="4" s="1"/>
  <c r="AK29" i="4" l="1"/>
  <c r="AK36" i="4" s="1"/>
  <c r="AK30" i="4"/>
  <c r="AK35" i="4" l="1"/>
  <c r="AK31" i="4"/>
  <c r="AK55" i="4"/>
  <c r="AL26" i="4" l="1"/>
  <c r="AL28" i="4" s="1"/>
  <c r="AL29" i="4" l="1"/>
  <c r="AL36" i="4" s="1"/>
  <c r="AL30" i="4" l="1"/>
  <c r="AL35" i="4" l="1"/>
  <c r="AL31" i="4"/>
  <c r="AL55" i="4"/>
  <c r="AM26" i="4" l="1"/>
  <c r="AM28" i="4" s="1"/>
  <c r="AM29" i="4" l="1"/>
  <c r="AM36" i="4" s="1"/>
  <c r="AM30" i="4"/>
  <c r="AM35" i="4" l="1"/>
  <c r="AM31" i="4"/>
  <c r="AM55" i="4"/>
  <c r="AN26" i="4" l="1"/>
  <c r="AN28" i="4" s="1"/>
  <c r="AN29" i="4" l="1"/>
  <c r="AN36" i="4" s="1"/>
  <c r="AN30" i="4"/>
  <c r="AN35" i="4" l="1"/>
  <c r="AN31" i="4"/>
  <c r="AN55" i="4"/>
  <c r="AO26" i="4" l="1"/>
  <c r="AO28" i="4" s="1"/>
  <c r="AO29" i="4" l="1"/>
  <c r="AO36" i="4" s="1"/>
  <c r="AO30" i="4"/>
  <c r="AP30" i="4" l="1"/>
  <c r="AQ30" i="4" s="1"/>
  <c r="AR30" i="4" s="1"/>
  <c r="AS30" i="4" s="1"/>
  <c r="AT30" i="4" s="1"/>
  <c r="AU30" i="4" s="1"/>
  <c r="AV30" i="4" s="1"/>
  <c r="AW30" i="4" s="1"/>
  <c r="AX30" i="4" s="1"/>
  <c r="AY30" i="4" s="1"/>
  <c r="AZ30" i="4" s="1"/>
  <c r="BA30" i="4" s="1"/>
  <c r="BB30" i="4" s="1"/>
  <c r="BC30" i="4" s="1"/>
  <c r="BD30" i="4" s="1"/>
  <c r="BE30" i="4" s="1"/>
  <c r="BF30" i="4" s="1"/>
  <c r="BG30" i="4" s="1"/>
  <c r="BH30" i="4" s="1"/>
  <c r="BI30" i="4" s="1"/>
  <c r="BJ30" i="4" s="1"/>
  <c r="BK30" i="4" s="1"/>
  <c r="BL30" i="4" s="1"/>
  <c r="BM30" i="4" s="1"/>
  <c r="BN30" i="4" s="1"/>
  <c r="BO30" i="4" s="1"/>
  <c r="BP30" i="4" s="1"/>
  <c r="BQ30" i="4" s="1"/>
  <c r="BR30" i="4" s="1"/>
  <c r="BS30" i="4" s="1"/>
  <c r="BT30" i="4" s="1"/>
  <c r="BU30" i="4" s="1"/>
  <c r="BV30" i="4" s="1"/>
  <c r="BW30" i="4" s="1"/>
  <c r="BX30" i="4" s="1"/>
  <c r="BY30" i="4" s="1"/>
  <c r="BZ30" i="4" s="1"/>
  <c r="CA30" i="4" s="1"/>
  <c r="CB30" i="4" s="1"/>
  <c r="CC30" i="4" s="1"/>
  <c r="CD30" i="4" s="1"/>
  <c r="CE30" i="4" s="1"/>
  <c r="CF30" i="4" s="1"/>
  <c r="CG30" i="4" s="1"/>
  <c r="CH30" i="4" s="1"/>
  <c r="CI30" i="4" s="1"/>
  <c r="CJ30" i="4" s="1"/>
  <c r="CK30" i="4" s="1"/>
  <c r="CL30" i="4" s="1"/>
  <c r="CM30" i="4" s="1"/>
  <c r="CN30" i="4" s="1"/>
  <c r="CO30" i="4" s="1"/>
  <c r="CP30" i="4" s="1"/>
  <c r="CQ30" i="4" s="1"/>
  <c r="CR30" i="4" s="1"/>
  <c r="CS30" i="4" s="1"/>
  <c r="CT30" i="4" s="1"/>
  <c r="CU30" i="4" s="1"/>
  <c r="CV30" i="4" s="1"/>
  <c r="CW30" i="4" s="1"/>
  <c r="CX30" i="4" s="1"/>
  <c r="CY30" i="4" s="1"/>
  <c r="CZ30" i="4" s="1"/>
  <c r="DA30" i="4" s="1"/>
  <c r="DB30" i="4" s="1"/>
  <c r="DC30" i="4" s="1"/>
  <c r="DD30" i="4" s="1"/>
  <c r="DE30" i="4" s="1"/>
  <c r="DF30" i="4" s="1"/>
  <c r="DG30" i="4" s="1"/>
  <c r="DH30" i="4" s="1"/>
  <c r="DI30" i="4" s="1"/>
  <c r="DJ30" i="4" s="1"/>
  <c r="DK30" i="4" s="1"/>
  <c r="DL30" i="4" s="1"/>
  <c r="DM30" i="4" s="1"/>
  <c r="DN30" i="4" s="1"/>
  <c r="DO30" i="4" s="1"/>
  <c r="DP30" i="4" s="1"/>
  <c r="DQ30" i="4" s="1"/>
  <c r="DR30" i="4" s="1"/>
  <c r="DS30" i="4" s="1"/>
  <c r="DT30" i="4" s="1"/>
  <c r="DU30" i="4" s="1"/>
  <c r="DV30" i="4" s="1"/>
  <c r="DW30" i="4" s="1"/>
  <c r="DX30" i="4" s="1"/>
  <c r="DY30" i="4" s="1"/>
  <c r="DZ30" i="4" s="1"/>
  <c r="EA30" i="4" s="1"/>
  <c r="EB30" i="4" s="1"/>
  <c r="EC30" i="4" s="1"/>
  <c r="ED30" i="4" s="1"/>
  <c r="EE30" i="4" s="1"/>
  <c r="EF30" i="4" s="1"/>
  <c r="EG30" i="4" s="1"/>
  <c r="EH30" i="4" s="1"/>
  <c r="EI30" i="4" s="1"/>
  <c r="EJ30" i="4" s="1"/>
  <c r="EK30" i="4" s="1"/>
  <c r="EL30" i="4" s="1"/>
  <c r="AR37" i="4" s="1"/>
  <c r="AR38" i="4" s="1"/>
  <c r="AR40" i="4" s="1"/>
  <c r="AO35" i="4"/>
  <c r="AO31" i="4"/>
  <c r="AO5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Fidel</author>
  </authors>
  <commentList>
    <comment ref="X4" authorId="0" shapeId="0" xr:uid="{CB4AD5E3-1250-495E-B1B8-7621B6658B64}">
      <text>
        <r>
          <rPr>
            <b/>
            <sz val="9"/>
            <color indexed="81"/>
            <rFont val="Tahoma"/>
            <charset val="1"/>
          </rPr>
          <t>Fidel: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Acquisition</t>
        </r>
        <r>
          <rPr>
            <sz val="9"/>
            <color indexed="81"/>
            <rFont val="Tahoma"/>
            <charset val="1"/>
          </rPr>
          <t xml:space="preserve">
TNT Express segment:
$7401</t>
        </r>
      </text>
    </comment>
    <comment ref="X10" authorId="0" shapeId="0" xr:uid="{99BC3F54-A84B-4A2A-9F55-3B2A7835F66B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Acquisition
</t>
        </r>
        <r>
          <rPr>
            <sz val="9"/>
            <color indexed="81"/>
            <rFont val="Tahoma"/>
            <family val="2"/>
          </rPr>
          <t>TNT Operating income:
$84</t>
        </r>
      </text>
    </comment>
    <comment ref="Z27" authorId="0" shapeId="0" xr:uid="{CBFCF8B1-7004-46E9-BB7D-992864635442}">
      <text>
        <r>
          <rPr>
            <b/>
            <sz val="9"/>
            <color indexed="81"/>
            <rFont val="Tahoma"/>
            <charset val="1"/>
          </rPr>
          <t>Fidel:</t>
        </r>
        <r>
          <rPr>
            <sz val="9"/>
            <color indexed="81"/>
            <rFont val="Tahoma"/>
            <charset val="1"/>
          </rPr>
          <t xml:space="preserve">
Non- cash adjustment retirement plan $3251</t>
        </r>
      </text>
    </comment>
    <comment ref="AF100" authorId="0" shapeId="0" xr:uid="{856C735B-760D-4B96-8A74-B7D84142F29A}">
      <text>
        <r>
          <rPr>
            <b/>
            <sz val="9"/>
            <color indexed="81"/>
            <rFont val="Tahoma"/>
            <charset val="1"/>
          </rPr>
          <t>Fidel:</t>
        </r>
        <r>
          <rPr>
            <sz val="9"/>
            <color indexed="81"/>
            <rFont val="Tahoma"/>
            <charset val="1"/>
          </rPr>
          <t xml:space="preserve">
Guidance:
$4900</t>
        </r>
      </text>
    </comment>
  </commentList>
</comments>
</file>

<file path=xl/sharedStrings.xml><?xml version="1.0" encoding="utf-8"?>
<sst xmlns="http://schemas.openxmlformats.org/spreadsheetml/2006/main" count="175" uniqueCount="141">
  <si>
    <t>FedEx</t>
  </si>
  <si>
    <t>Price</t>
  </si>
  <si>
    <t>Shares</t>
  </si>
  <si>
    <t>FQ325</t>
  </si>
  <si>
    <t>MC</t>
  </si>
  <si>
    <t>Cash</t>
  </si>
  <si>
    <t>Debt</t>
  </si>
  <si>
    <t>EV</t>
  </si>
  <si>
    <t>Main</t>
  </si>
  <si>
    <t>Q424</t>
  </si>
  <si>
    <t>Discount</t>
  </si>
  <si>
    <t>ROIC</t>
  </si>
  <si>
    <t>TTM NI</t>
  </si>
  <si>
    <t>Net cash</t>
  </si>
  <si>
    <t>ADV y/y</t>
  </si>
  <si>
    <t>International vol y/y</t>
  </si>
  <si>
    <t>U.S. Domestic vol y/y</t>
  </si>
  <si>
    <t>Total package revenue</t>
  </si>
  <si>
    <t>International Rev y/y</t>
  </si>
  <si>
    <t>U.S. Rev y/y</t>
  </si>
  <si>
    <t>Composite package yield</t>
  </si>
  <si>
    <t>International domestic</t>
  </si>
  <si>
    <t>International export composite</t>
  </si>
  <si>
    <t>International economy</t>
  </si>
  <si>
    <t>International priority</t>
  </si>
  <si>
    <t>Total U.S. domestic composite</t>
  </si>
  <si>
    <t>U.S. ground</t>
  </si>
  <si>
    <t>U.S. deferred</t>
  </si>
  <si>
    <t>U.S. priority</t>
  </si>
  <si>
    <t>Revenue per package (yield)</t>
  </si>
  <si>
    <t>Total ADV</t>
  </si>
  <si>
    <t>Total international export ADV</t>
  </si>
  <si>
    <t>Total U.S. domestic ADV</t>
  </si>
  <si>
    <t>U.S. ground home delivery/economy</t>
  </si>
  <si>
    <t>U.S. ground commercial</t>
  </si>
  <si>
    <t>Avg daily package volume (ADV) (000s)</t>
  </si>
  <si>
    <t>Total international export package revenue</t>
  </si>
  <si>
    <t xml:space="preserve">Total U.S. domestic package revenue </t>
  </si>
  <si>
    <t>Revenue express segment</t>
  </si>
  <si>
    <t>Total packages period (000s)</t>
  </si>
  <si>
    <t>Home Delivery/Economy Operating Days</t>
  </si>
  <si>
    <t>Ground commercial Operating weekdays</t>
  </si>
  <si>
    <t>FCF</t>
  </si>
  <si>
    <t>CIC</t>
  </si>
  <si>
    <t>FX</t>
  </si>
  <si>
    <t>CFFF</t>
  </si>
  <si>
    <t>Other</t>
  </si>
  <si>
    <t>Buyback</t>
  </si>
  <si>
    <t>Dividends</t>
  </si>
  <si>
    <t>Stock issuance</t>
  </si>
  <si>
    <t>CFFI</t>
  </si>
  <si>
    <t>Disposition</t>
  </si>
  <si>
    <t>Investments</t>
  </si>
  <si>
    <t>Sale</t>
  </si>
  <si>
    <t>Acquisition</t>
  </si>
  <si>
    <t>CapEx</t>
  </si>
  <si>
    <t>CFFO</t>
  </si>
  <si>
    <t>A/P</t>
  </si>
  <si>
    <t>A/R</t>
  </si>
  <si>
    <t>Business optimization cost</t>
  </si>
  <si>
    <t>SBC</t>
  </si>
  <si>
    <t>Leases and deferred taxes</t>
  </si>
  <si>
    <t>Provision</t>
  </si>
  <si>
    <t>D&amp;A</t>
  </si>
  <si>
    <t>Reported NI</t>
  </si>
  <si>
    <t>Model NI</t>
  </si>
  <si>
    <t>Invested capital</t>
  </si>
  <si>
    <t>NOPAT</t>
  </si>
  <si>
    <t>Tangible bookvalue</t>
  </si>
  <si>
    <t>L+S/E</t>
  </si>
  <si>
    <t>S/E</t>
  </si>
  <si>
    <t>Liabilties</t>
  </si>
  <si>
    <t>Self-insurance accruals</t>
  </si>
  <si>
    <t>Pension and benefits</t>
  </si>
  <si>
    <t>D/T</t>
  </si>
  <si>
    <t>Accrued expenses</t>
  </si>
  <si>
    <t>Lease</t>
  </si>
  <si>
    <t>Accrued salaries and benefits</t>
  </si>
  <si>
    <t>Assets</t>
  </si>
  <si>
    <t>Goodwil</t>
  </si>
  <si>
    <t>PP&amp;E (net)</t>
  </si>
  <si>
    <t>less D&amp;A</t>
  </si>
  <si>
    <t>PP&amp;E (gross)</t>
  </si>
  <si>
    <t>Prepaid</t>
  </si>
  <si>
    <t>Inventory</t>
  </si>
  <si>
    <t>Other and elims % of rev</t>
  </si>
  <si>
    <t>Service % of rev</t>
  </si>
  <si>
    <t>Freight % of rev</t>
  </si>
  <si>
    <t>Ground % of rev</t>
  </si>
  <si>
    <t>Express % of rev</t>
  </si>
  <si>
    <t>Freight operating margin</t>
  </si>
  <si>
    <t>Ground operating margin</t>
  </si>
  <si>
    <t>Express operating margin</t>
  </si>
  <si>
    <t>Expenses y/y</t>
  </si>
  <si>
    <t>Freight y/y</t>
  </si>
  <si>
    <t>Change</t>
  </si>
  <si>
    <t>Ground y/y</t>
  </si>
  <si>
    <t>Current</t>
  </si>
  <si>
    <t>Express  y/y</t>
  </si>
  <si>
    <t>Share</t>
  </si>
  <si>
    <t>Revenue y/y</t>
  </si>
  <si>
    <t>NPV</t>
  </si>
  <si>
    <t>Tax rate</t>
  </si>
  <si>
    <t>Net margin</t>
  </si>
  <si>
    <t>Terminal</t>
  </si>
  <si>
    <t>Operating margin</t>
  </si>
  <si>
    <t>EPS</t>
  </si>
  <si>
    <t>Net income</t>
  </si>
  <si>
    <t>Taxes</t>
  </si>
  <si>
    <t>Pretax</t>
  </si>
  <si>
    <t>Interest income</t>
  </si>
  <si>
    <t>Operating income</t>
  </si>
  <si>
    <t>Operating expense</t>
  </si>
  <si>
    <t>Maintenance</t>
  </si>
  <si>
    <t>Fuel</t>
  </si>
  <si>
    <t>Rentals and landing fees</t>
  </si>
  <si>
    <t>Purchased transportation</t>
  </si>
  <si>
    <t>Salaries and benefits</t>
  </si>
  <si>
    <t>Revenue</t>
  </si>
  <si>
    <t>Other and elims</t>
  </si>
  <si>
    <t>Freight</t>
  </si>
  <si>
    <t>Ground</t>
  </si>
  <si>
    <t xml:space="preserve">Express </t>
  </si>
  <si>
    <t>Operating income segment</t>
  </si>
  <si>
    <t>Service</t>
  </si>
  <si>
    <t>Revenue segment</t>
  </si>
  <si>
    <t>Q425</t>
  </si>
  <si>
    <t>Q325</t>
  </si>
  <si>
    <t>Q225</t>
  </si>
  <si>
    <t>Q125</t>
  </si>
  <si>
    <t>Q324</t>
  </si>
  <si>
    <t>Q224</t>
  </si>
  <si>
    <t>Q124</t>
  </si>
  <si>
    <t>Q423</t>
  </si>
  <si>
    <t>Q323</t>
  </si>
  <si>
    <t>Q223</t>
  </si>
  <si>
    <t>Q123</t>
  </si>
  <si>
    <t>Q422</t>
  </si>
  <si>
    <t>Q322</t>
  </si>
  <si>
    <t>Q222</t>
  </si>
  <si>
    <t>Q122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</si>
</sst>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x"/>
    <numFmt numFmtId="165" formatCode="d/mm/yy;@"/>
    <numFmt numFmtId="166" formatCode="0.0%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3" fontId="0" fillId="0" borderId="0" xfId="0" applyNumberFormat="1" applyAlignment="1">
      <alignment horizontal="right"/>
    </xf>
    <xf numFmtId="166" fontId="0" fillId="0" borderId="0" xfId="0" applyNumberFormat="1"/>
    <xf numFmtId="3" fontId="1" fillId="0" borderId="0" xfId="0" applyNumberFormat="1" applyFont="1"/>
    <xf numFmtId="4" fontId="1" fillId="0" borderId="0" xfId="0" applyNumberFormat="1" applyFont="1"/>
    <xf numFmtId="3" fontId="1" fillId="2" borderId="0" xfId="0" applyNumberFormat="1" applyFont="1" applyFill="1"/>
    <xf numFmtId="9" fontId="0" fillId="0" borderId="0" xfId="0" applyNumberFormat="1"/>
    <xf numFmtId="3" fontId="0" fillId="0" borderId="0" xfId="0" applyNumberFormat="1" applyAlignment="1">
      <alignment horizontal="left" indent="1"/>
    </xf>
    <xf numFmtId="166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166" fontId="1" fillId="0" borderId="0" xfId="0" applyNumberFormat="1" applyFont="1"/>
    <xf numFmtId="166" fontId="1" fillId="0" borderId="0" xfId="0" applyNumberFormat="1" applyFont="1" applyAlignment="1">
      <alignment horizontal="right"/>
    </xf>
    <xf numFmtId="10" fontId="1" fillId="0" borderId="0" xfId="0" applyNumberFormat="1" applyFont="1"/>
    <xf numFmtId="9" fontId="1" fillId="0" borderId="0" xfId="0" applyNumberFormat="1" applyFont="1"/>
    <xf numFmtId="3" fontId="0" fillId="0" borderId="0" xfId="0" applyNumberFormat="1" applyAlignment="1">
      <alignment horizontal="left"/>
    </xf>
    <xf numFmtId="3" fontId="0" fillId="2" borderId="0" xfId="0" applyNumberFormat="1" applyFill="1"/>
    <xf numFmtId="3" fontId="0" fillId="2" borderId="0" xfId="0" applyNumberFormat="1" applyFill="1" applyAlignment="1">
      <alignment horizontal="right"/>
    </xf>
    <xf numFmtId="3" fontId="1" fillId="2" borderId="0" xfId="0" applyNumberFormat="1" applyFont="1" applyFill="1" applyAlignment="1">
      <alignment horizontal="left"/>
    </xf>
    <xf numFmtId="0" fontId="0" fillId="2" borderId="0" xfId="0" applyFill="1"/>
    <xf numFmtId="165" fontId="0" fillId="0" borderId="0" xfId="0" applyNumberFormat="1"/>
    <xf numFmtId="165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0</xdr:row>
      <xdr:rowOff>9525</xdr:rowOff>
    </xdr:from>
    <xdr:to>
      <xdr:col>17</xdr:col>
      <xdr:colOff>28575</xdr:colOff>
      <xdr:row>163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7C5183F-5E9C-4AF8-86C6-B53E4CFB9A3A}"/>
            </a:ext>
          </a:extLst>
        </xdr:cNvPr>
        <xdr:cNvCxnSpPr/>
      </xdr:nvCxnSpPr>
      <xdr:spPr>
        <a:xfrm>
          <a:off x="10391775" y="9525"/>
          <a:ext cx="0" cy="2638425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38100</xdr:colOff>
      <xdr:row>0</xdr:row>
      <xdr:rowOff>0</xdr:rowOff>
    </xdr:from>
    <xdr:to>
      <xdr:col>31</xdr:col>
      <xdr:colOff>38100</xdr:colOff>
      <xdr:row>123</xdr:row>
      <xdr:rowOff>133350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4F6D9BB-240A-4967-854E-0D4FCA98A6F6}"/>
            </a:ext>
          </a:extLst>
        </xdr:cNvPr>
        <xdr:cNvCxnSpPr/>
      </xdr:nvCxnSpPr>
      <xdr:spPr>
        <a:xfrm>
          <a:off x="18935700" y="0"/>
          <a:ext cx="0" cy="2005012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Transportation.xlsx" TargetMode="External"/><Relationship Id="rId1" Type="http://schemas.openxmlformats.org/officeDocument/2006/relationships/externalLinkPath" Target="Transpor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arcel Services"/>
    </sheetNames>
    <sheetDataSet>
      <sheetData sheetId="0">
        <row r="4">
          <cell r="C4">
            <v>109.66</v>
          </cell>
          <cell r="G4">
            <v>241.05</v>
          </cell>
        </row>
        <row r="5">
          <cell r="G5">
            <v>239.598919</v>
          </cell>
        </row>
        <row r="7">
          <cell r="G7">
            <v>6501</v>
          </cell>
        </row>
        <row r="8">
          <cell r="G8">
            <v>20203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9A79-34DE-4F70-8728-78C7F6E89738}">
  <dimension ref="K2:M10"/>
  <sheetViews>
    <sheetView tabSelected="1" workbookViewId="0">
      <selection activeCell="D27" sqref="D27"/>
    </sheetView>
  </sheetViews>
  <sheetFormatPr defaultRowHeight="12.75" x14ac:dyDescent="0.2"/>
  <cols>
    <col min="1" max="1" width="5" bestFit="1" customWidth="1"/>
  </cols>
  <sheetData>
    <row r="2" spans="11:13" x14ac:dyDescent="0.2">
      <c r="K2" s="1" t="s">
        <v>0</v>
      </c>
      <c r="L2" s="1"/>
    </row>
    <row r="3" spans="11:13" x14ac:dyDescent="0.2">
      <c r="K3" t="s">
        <v>1</v>
      </c>
      <c r="L3" s="2">
        <v>241.05</v>
      </c>
    </row>
    <row r="4" spans="11:13" x14ac:dyDescent="0.2">
      <c r="K4" t="s">
        <v>2</v>
      </c>
      <c r="L4" s="3">
        <v>239.598919</v>
      </c>
      <c r="M4" s="4" t="s">
        <v>3</v>
      </c>
    </row>
    <row r="5" spans="11:13" x14ac:dyDescent="0.2">
      <c r="K5" t="s">
        <v>4</v>
      </c>
      <c r="L5" s="3">
        <f>+L3*L4</f>
        <v>57755.319424950001</v>
      </c>
      <c r="M5" s="4"/>
    </row>
    <row r="6" spans="11:13" x14ac:dyDescent="0.2">
      <c r="K6" t="s">
        <v>5</v>
      </c>
      <c r="L6" s="3">
        <v>6501</v>
      </c>
      <c r="M6" s="4" t="s">
        <v>3</v>
      </c>
    </row>
    <row r="7" spans="11:13" x14ac:dyDescent="0.2">
      <c r="K7" t="s">
        <v>6</v>
      </c>
      <c r="L7" s="3">
        <f>68+20135</f>
        <v>20203</v>
      </c>
      <c r="M7" s="4" t="s">
        <v>3</v>
      </c>
    </row>
    <row r="8" spans="11:13" x14ac:dyDescent="0.2">
      <c r="K8" t="s">
        <v>7</v>
      </c>
      <c r="L8" s="3">
        <f>+L5-L6+L7</f>
        <v>71457.319424949994</v>
      </c>
      <c r="M8" s="4"/>
    </row>
    <row r="9" spans="11:13" x14ac:dyDescent="0.2">
      <c r="L9" s="3">
        <v>4075</v>
      </c>
    </row>
    <row r="10" spans="11:13" x14ac:dyDescent="0.2">
      <c r="L10" s="5">
        <f>+L8/L9</f>
        <v>17.535538509190182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EDBCA-087C-4A34-A920-77FA2B4981BB}">
  <dimension ref="A1:EL160"/>
  <sheetViews>
    <sheetView workbookViewId="0">
      <pane xSplit="2" ySplit="2" topLeftCell="V3" activePane="bottomRight" state="frozen"/>
      <selection pane="topRight" activeCell="B1" sqref="B1"/>
      <selection pane="bottomLeft" activeCell="A3" sqref="A3"/>
      <selection pane="bottomRight" activeCell="AQ40" sqref="AQ40:AR40"/>
    </sheetView>
  </sheetViews>
  <sheetFormatPr defaultRowHeight="12.75" x14ac:dyDescent="0.2"/>
  <cols>
    <col min="1" max="1" width="5" style="3" bestFit="1" customWidth="1"/>
    <col min="2" max="2" width="26.140625" style="3" bestFit="1" customWidth="1"/>
    <col min="3" max="17" width="9.140625" style="3"/>
    <col min="18" max="18" width="12.7109375" style="3" bestFit="1" customWidth="1"/>
    <col min="19" max="19" width="9.140625" style="3"/>
    <col min="20" max="20" width="9.7109375" style="3" bestFit="1" customWidth="1"/>
    <col min="21" max="30" width="9.140625" style="3"/>
    <col min="31" max="31" width="9.140625" style="3" customWidth="1"/>
    <col min="32" max="43" width="9.140625" style="3"/>
    <col min="44" max="44" width="9.140625" style="3" customWidth="1"/>
    <col min="45" max="16384" width="9.140625" style="3"/>
  </cols>
  <sheetData>
    <row r="1" spans="1:41" s="24" customFormat="1" x14ac:dyDescent="0.2">
      <c r="A1" s="25" t="s">
        <v>8</v>
      </c>
      <c r="C1" s="24">
        <v>44439</v>
      </c>
      <c r="D1" s="24">
        <v>44530</v>
      </c>
      <c r="E1" s="24">
        <v>44620</v>
      </c>
      <c r="F1" s="24">
        <v>44712</v>
      </c>
      <c r="G1" s="24">
        <v>44804</v>
      </c>
      <c r="H1" s="24">
        <v>44895</v>
      </c>
      <c r="I1" s="24">
        <v>44985</v>
      </c>
      <c r="J1" s="24">
        <v>45077</v>
      </c>
      <c r="K1" s="24">
        <v>45169</v>
      </c>
      <c r="L1" s="24">
        <v>45260</v>
      </c>
      <c r="M1" s="24">
        <v>45351</v>
      </c>
      <c r="N1" s="24">
        <v>45443</v>
      </c>
      <c r="O1" s="24">
        <v>45535</v>
      </c>
      <c r="P1" s="24">
        <v>45626</v>
      </c>
      <c r="Q1" s="24">
        <v>45716</v>
      </c>
      <c r="Y1" s="24">
        <v>43251</v>
      </c>
      <c r="Z1" s="24">
        <v>43616</v>
      </c>
      <c r="AA1" s="24">
        <v>43982</v>
      </c>
      <c r="AB1" s="24">
        <v>44347</v>
      </c>
      <c r="AC1" s="24">
        <v>44712</v>
      </c>
      <c r="AD1" s="24">
        <v>45077</v>
      </c>
      <c r="AE1" s="24">
        <v>45443</v>
      </c>
    </row>
    <row r="2" spans="1:41" x14ac:dyDescent="0.2">
      <c r="B2" s="6"/>
      <c r="C2" s="6" t="s">
        <v>140</v>
      </c>
      <c r="D2" s="6" t="s">
        <v>139</v>
      </c>
      <c r="E2" s="6" t="s">
        <v>138</v>
      </c>
      <c r="F2" s="6" t="s">
        <v>137</v>
      </c>
      <c r="G2" s="6" t="s">
        <v>136</v>
      </c>
      <c r="H2" s="6" t="s">
        <v>135</v>
      </c>
      <c r="I2" s="6" t="s">
        <v>134</v>
      </c>
      <c r="J2" s="6" t="s">
        <v>133</v>
      </c>
      <c r="K2" s="6" t="s">
        <v>132</v>
      </c>
      <c r="L2" s="6" t="s">
        <v>131</v>
      </c>
      <c r="M2" s="6" t="s">
        <v>130</v>
      </c>
      <c r="N2" s="6" t="s">
        <v>9</v>
      </c>
      <c r="O2" s="6" t="s">
        <v>129</v>
      </c>
      <c r="P2" s="6" t="s">
        <v>128</v>
      </c>
      <c r="Q2" s="6" t="s">
        <v>127</v>
      </c>
      <c r="R2" s="6" t="s">
        <v>126</v>
      </c>
      <c r="S2" s="6"/>
      <c r="U2">
        <v>2014</v>
      </c>
      <c r="V2">
        <f>+U2+1</f>
        <v>2015</v>
      </c>
      <c r="W2">
        <f>+V2+1</f>
        <v>2016</v>
      </c>
      <c r="X2">
        <f>+W2+1</f>
        <v>2017</v>
      </c>
      <c r="Y2">
        <f>+X2+1</f>
        <v>2018</v>
      </c>
      <c r="Z2">
        <f>+Y2+1</f>
        <v>2019</v>
      </c>
      <c r="AA2">
        <f>+Z2+1</f>
        <v>2020</v>
      </c>
      <c r="AB2">
        <f>+AA2+1</f>
        <v>2021</v>
      </c>
      <c r="AC2">
        <f>+AB2+1</f>
        <v>2022</v>
      </c>
      <c r="AD2">
        <f>+AC2+1</f>
        <v>2023</v>
      </c>
      <c r="AE2">
        <f>+AD2+1</f>
        <v>2024</v>
      </c>
      <c r="AF2">
        <f>+AE2+1</f>
        <v>2025</v>
      </c>
      <c r="AG2">
        <f>+AF2+1</f>
        <v>2026</v>
      </c>
      <c r="AH2">
        <f>+AG2+1</f>
        <v>2027</v>
      </c>
      <c r="AI2">
        <f>+AH2+1</f>
        <v>2028</v>
      </c>
      <c r="AJ2">
        <f>+AI2+1</f>
        <v>2029</v>
      </c>
      <c r="AK2">
        <f>+AJ2+1</f>
        <v>2030</v>
      </c>
      <c r="AL2">
        <f>+AK2+1</f>
        <v>2031</v>
      </c>
      <c r="AM2">
        <f>+AL2+1</f>
        <v>2032</v>
      </c>
      <c r="AN2">
        <f>+AM2+1</f>
        <v>2033</v>
      </c>
      <c r="AO2">
        <f>+AN2+1</f>
        <v>2034</v>
      </c>
    </row>
    <row r="3" spans="1:41" s="20" customFormat="1" x14ac:dyDescent="0.2">
      <c r="B3" s="22" t="s">
        <v>125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</row>
    <row r="4" spans="1:41" x14ac:dyDescent="0.2">
      <c r="B4" s="19" t="s">
        <v>122</v>
      </c>
      <c r="C4" s="6"/>
      <c r="D4" s="6"/>
      <c r="E4" s="6"/>
      <c r="F4" s="6">
        <v>11939</v>
      </c>
      <c r="G4" s="6">
        <v>11127</v>
      </c>
      <c r="H4" s="6">
        <v>10864</v>
      </c>
      <c r="I4" s="6">
        <v>10345</v>
      </c>
      <c r="J4" s="6">
        <v>10407</v>
      </c>
      <c r="K4" s="6">
        <v>10085</v>
      </c>
      <c r="L4" s="6">
        <v>10254</v>
      </c>
      <c r="M4" s="6">
        <v>10101</v>
      </c>
      <c r="N4" s="6">
        <v>10417</v>
      </c>
      <c r="O4" s="6">
        <v>18305</v>
      </c>
      <c r="P4" s="6">
        <v>18841</v>
      </c>
      <c r="Q4" s="6">
        <v>19181</v>
      </c>
      <c r="R4" s="6">
        <f>+SUM(N4:N5)</f>
        <v>18911</v>
      </c>
      <c r="S4" s="6"/>
      <c r="U4" s="3">
        <v>27121</v>
      </c>
      <c r="V4" s="3">
        <v>27239</v>
      </c>
      <c r="W4" s="3">
        <v>26451</v>
      </c>
      <c r="X4" s="3">
        <f>27358+7401</f>
        <v>34759</v>
      </c>
      <c r="Y4" s="3">
        <v>36172</v>
      </c>
      <c r="Z4" s="3">
        <v>37331</v>
      </c>
      <c r="AA4" s="3">
        <v>35513</v>
      </c>
      <c r="AB4" s="3">
        <v>42078</v>
      </c>
      <c r="AC4" s="3">
        <v>45814</v>
      </c>
      <c r="AD4" s="3">
        <v>42743</v>
      </c>
      <c r="AE4" s="3">
        <v>40857</v>
      </c>
      <c r="AF4" s="3">
        <f>+SUM(O4:R4)</f>
        <v>75238</v>
      </c>
    </row>
    <row r="5" spans="1:41" x14ac:dyDescent="0.2">
      <c r="B5" s="19" t="s">
        <v>121</v>
      </c>
      <c r="C5" s="6"/>
      <c r="D5" s="6"/>
      <c r="E5" s="6"/>
      <c r="F5" s="6">
        <v>8491</v>
      </c>
      <c r="G5" s="6">
        <v>8160</v>
      </c>
      <c r="H5" s="6">
        <v>8393</v>
      </c>
      <c r="I5" s="6">
        <v>8658</v>
      </c>
      <c r="J5" s="6">
        <v>8296</v>
      </c>
      <c r="K5" s="6">
        <v>8420</v>
      </c>
      <c r="L5" s="6">
        <v>8639</v>
      </c>
      <c r="M5" s="6">
        <v>8703</v>
      </c>
      <c r="N5" s="6">
        <v>8494</v>
      </c>
      <c r="O5" s="6"/>
      <c r="P5" s="6"/>
      <c r="Q5" s="6"/>
      <c r="R5" s="6"/>
      <c r="S5" s="6"/>
      <c r="U5" s="3">
        <v>11617</v>
      </c>
      <c r="V5" s="3">
        <v>12984</v>
      </c>
      <c r="W5" s="3">
        <v>16574</v>
      </c>
      <c r="X5" s="3">
        <v>18075</v>
      </c>
      <c r="Y5" s="3">
        <v>18395</v>
      </c>
      <c r="Z5" s="3">
        <v>20522</v>
      </c>
      <c r="AA5" s="3">
        <v>22733</v>
      </c>
      <c r="AB5" s="3">
        <v>30496</v>
      </c>
      <c r="AC5" s="3">
        <v>33232</v>
      </c>
      <c r="AD5" s="3">
        <v>33507</v>
      </c>
      <c r="AE5" s="3">
        <v>34256</v>
      </c>
    </row>
    <row r="6" spans="1:41" x14ac:dyDescent="0.2">
      <c r="B6" s="19" t="s">
        <v>120</v>
      </c>
      <c r="C6" s="6"/>
      <c r="D6" s="6"/>
      <c r="E6" s="6"/>
      <c r="F6" s="6">
        <v>2756</v>
      </c>
      <c r="G6" s="6">
        <v>2723</v>
      </c>
      <c r="H6" s="6">
        <v>2454</v>
      </c>
      <c r="I6" s="6">
        <v>2186</v>
      </c>
      <c r="J6" s="6">
        <v>2269</v>
      </c>
      <c r="K6" s="6">
        <v>2291</v>
      </c>
      <c r="L6" s="6">
        <v>2360</v>
      </c>
      <c r="M6" s="6">
        <v>2125</v>
      </c>
      <c r="N6" s="6">
        <v>2306</v>
      </c>
      <c r="O6" s="6">
        <v>2329</v>
      </c>
      <c r="P6" s="6">
        <v>2177</v>
      </c>
      <c r="Q6" s="6">
        <v>2089</v>
      </c>
      <c r="R6" s="6">
        <f>+N6</f>
        <v>2306</v>
      </c>
      <c r="S6" s="6"/>
      <c r="U6" s="3">
        <v>5757</v>
      </c>
      <c r="V6" s="3">
        <v>6191</v>
      </c>
      <c r="W6" s="3">
        <v>6200</v>
      </c>
      <c r="X6" s="3">
        <v>6443</v>
      </c>
      <c r="Y6" s="3">
        <v>6812</v>
      </c>
      <c r="Z6" s="3">
        <v>7582</v>
      </c>
      <c r="AA6" s="3">
        <v>7102</v>
      </c>
      <c r="AB6" s="3">
        <v>7833</v>
      </c>
      <c r="AC6" s="3">
        <v>9532</v>
      </c>
      <c r="AD6" s="3">
        <v>9632</v>
      </c>
      <c r="AE6" s="3">
        <v>9082</v>
      </c>
      <c r="AF6" s="3">
        <f>+SUM(O6:R6)</f>
        <v>8901</v>
      </c>
    </row>
    <row r="7" spans="1:41" x14ac:dyDescent="0.2">
      <c r="B7" s="19" t="s">
        <v>124</v>
      </c>
      <c r="C7" s="6"/>
      <c r="D7" s="6"/>
      <c r="E7" s="6"/>
      <c r="F7" s="6">
        <v>76</v>
      </c>
      <c r="G7" s="6">
        <v>70</v>
      </c>
      <c r="H7" s="6">
        <v>68</v>
      </c>
      <c r="I7" s="6">
        <v>87</v>
      </c>
      <c r="J7" s="6">
        <v>76</v>
      </c>
      <c r="K7" s="6">
        <v>72</v>
      </c>
      <c r="L7" s="6">
        <v>65</v>
      </c>
      <c r="M7" s="6">
        <v>64</v>
      </c>
      <c r="N7" s="6">
        <v>59</v>
      </c>
      <c r="O7" s="6"/>
      <c r="P7" s="6"/>
      <c r="Q7" s="6"/>
      <c r="R7" s="6"/>
      <c r="S7" s="6"/>
      <c r="U7" s="3">
        <v>1536</v>
      </c>
      <c r="V7" s="3">
        <v>1545</v>
      </c>
      <c r="W7" s="3">
        <v>1593</v>
      </c>
      <c r="X7" s="3">
        <v>1621</v>
      </c>
      <c r="Y7" s="3">
        <v>1650</v>
      </c>
      <c r="Z7" s="3">
        <v>1691</v>
      </c>
      <c r="AA7" s="3">
        <v>22</v>
      </c>
      <c r="AB7" s="3">
        <v>32</v>
      </c>
      <c r="AC7" s="3">
        <v>253</v>
      </c>
      <c r="AD7" s="3">
        <v>301</v>
      </c>
      <c r="AE7" s="3">
        <v>260</v>
      </c>
    </row>
    <row r="8" spans="1:41" x14ac:dyDescent="0.2">
      <c r="B8" s="19" t="s">
        <v>119</v>
      </c>
      <c r="C8" s="6"/>
      <c r="D8" s="6"/>
      <c r="E8" s="6"/>
      <c r="F8" s="6">
        <v>1132</v>
      </c>
      <c r="G8" s="6">
        <v>1162</v>
      </c>
      <c r="H8" s="6">
        <v>1035</v>
      </c>
      <c r="I8" s="6">
        <v>893</v>
      </c>
      <c r="J8" s="6">
        <v>882</v>
      </c>
      <c r="K8" s="6">
        <v>813</v>
      </c>
      <c r="L8" s="6">
        <v>847</v>
      </c>
      <c r="M8" s="6">
        <v>745</v>
      </c>
      <c r="N8" s="6">
        <v>833</v>
      </c>
      <c r="O8" s="6">
        <v>945</v>
      </c>
      <c r="P8" s="6">
        <v>949</v>
      </c>
      <c r="Q8" s="6">
        <v>890</v>
      </c>
      <c r="R8" s="6">
        <f>+N8</f>
        <v>833</v>
      </c>
      <c r="S8" s="6"/>
      <c r="U8" s="3">
        <v>-464</v>
      </c>
      <c r="V8" s="3">
        <v>-506</v>
      </c>
      <c r="W8" s="3">
        <v>-453</v>
      </c>
      <c r="X8" s="3">
        <v>-579</v>
      </c>
      <c r="Y8" s="3">
        <v>2421</v>
      </c>
      <c r="Z8" s="3">
        <v>2567</v>
      </c>
      <c r="AA8" s="3">
        <v>3847</v>
      </c>
      <c r="AB8" s="3">
        <v>3520</v>
      </c>
      <c r="AC8" s="3">
        <v>4681</v>
      </c>
      <c r="AD8" s="3">
        <v>3972</v>
      </c>
      <c r="AE8" s="3">
        <v>3238</v>
      </c>
      <c r="AF8" s="3">
        <f>+SUM(O8:R8)</f>
        <v>3617</v>
      </c>
    </row>
    <row r="9" spans="1:41" s="20" customFormat="1" x14ac:dyDescent="0.2">
      <c r="B9" s="22" t="s">
        <v>123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pans="1:41" x14ac:dyDescent="0.2">
      <c r="B10" s="19" t="s">
        <v>122</v>
      </c>
      <c r="C10" s="6"/>
      <c r="D10" s="6"/>
      <c r="E10" s="6"/>
      <c r="F10" s="6">
        <v>886</v>
      </c>
      <c r="G10" s="6">
        <v>174</v>
      </c>
      <c r="H10" s="6">
        <v>341</v>
      </c>
      <c r="I10" s="6">
        <v>119</v>
      </c>
      <c r="J10" s="6">
        <v>430</v>
      </c>
      <c r="K10" s="6">
        <v>205</v>
      </c>
      <c r="L10" s="6">
        <v>137</v>
      </c>
      <c r="M10" s="6">
        <v>233</v>
      </c>
      <c r="N10" s="6">
        <v>201</v>
      </c>
      <c r="O10" s="6">
        <v>953</v>
      </c>
      <c r="P10" s="6">
        <v>1052</v>
      </c>
      <c r="Q10" s="6">
        <v>1294</v>
      </c>
      <c r="R10" s="6"/>
      <c r="S10" s="6"/>
      <c r="U10" s="3">
        <v>1428</v>
      </c>
      <c r="V10" s="3">
        <v>1584</v>
      </c>
      <c r="W10" s="3">
        <v>2519</v>
      </c>
      <c r="X10" s="3">
        <f>2678+84</f>
        <v>2762</v>
      </c>
      <c r="Y10" s="3">
        <v>2105</v>
      </c>
      <c r="Z10" s="3">
        <v>21233</v>
      </c>
      <c r="AA10" s="3">
        <v>996</v>
      </c>
      <c r="AB10" s="3">
        <v>2810</v>
      </c>
      <c r="AC10" s="3">
        <v>2922</v>
      </c>
      <c r="AD10" s="3">
        <v>1064</v>
      </c>
      <c r="AE10" s="3">
        <v>776</v>
      </c>
    </row>
    <row r="11" spans="1:41" x14ac:dyDescent="0.2">
      <c r="B11" s="19" t="s">
        <v>121</v>
      </c>
      <c r="C11" s="6"/>
      <c r="D11" s="6"/>
      <c r="E11" s="6"/>
      <c r="F11" s="6">
        <v>849</v>
      </c>
      <c r="G11" s="6">
        <v>694</v>
      </c>
      <c r="H11" s="6">
        <v>598</v>
      </c>
      <c r="I11" s="6">
        <v>844</v>
      </c>
      <c r="J11" s="6">
        <v>1004</v>
      </c>
      <c r="K11" s="6">
        <v>1103</v>
      </c>
      <c r="L11" s="6">
        <v>900</v>
      </c>
      <c r="M11" s="6">
        <v>942</v>
      </c>
      <c r="N11" s="6">
        <v>1104</v>
      </c>
      <c r="O11" s="6"/>
      <c r="P11" s="6"/>
      <c r="R11" s="6"/>
      <c r="S11" s="6"/>
      <c r="U11" s="3">
        <v>2021</v>
      </c>
      <c r="V11" s="3">
        <v>2172</v>
      </c>
      <c r="W11" s="3">
        <v>2276</v>
      </c>
      <c r="X11" s="3">
        <v>2292</v>
      </c>
      <c r="Y11" s="3">
        <v>2529</v>
      </c>
      <c r="Z11" s="3">
        <v>2640</v>
      </c>
      <c r="AA11" s="3">
        <v>2014</v>
      </c>
      <c r="AB11" s="3">
        <v>3193</v>
      </c>
      <c r="AC11" s="3">
        <v>2642</v>
      </c>
      <c r="AD11" s="3">
        <v>3140</v>
      </c>
      <c r="AE11" s="3">
        <v>4049</v>
      </c>
    </row>
    <row r="12" spans="1:41" x14ac:dyDescent="0.2">
      <c r="B12" s="19" t="s">
        <v>120</v>
      </c>
      <c r="C12" s="6"/>
      <c r="D12" s="6"/>
      <c r="E12" s="6"/>
      <c r="F12" s="6">
        <v>602</v>
      </c>
      <c r="G12" s="6">
        <v>651</v>
      </c>
      <c r="H12" s="6">
        <v>440</v>
      </c>
      <c r="I12" s="6">
        <v>386</v>
      </c>
      <c r="J12" s="6">
        <v>448</v>
      </c>
      <c r="K12" s="6">
        <v>481</v>
      </c>
      <c r="L12" s="6">
        <v>487</v>
      </c>
      <c r="M12" s="6">
        <v>340</v>
      </c>
      <c r="N12" s="6">
        <v>506</v>
      </c>
      <c r="O12" s="6">
        <v>439</v>
      </c>
      <c r="P12" s="6">
        <v>312</v>
      </c>
      <c r="Q12" s="6">
        <v>261</v>
      </c>
      <c r="R12" s="6"/>
      <c r="S12" s="6"/>
      <c r="U12" s="3">
        <v>351</v>
      </c>
      <c r="V12" s="3">
        <v>484</v>
      </c>
      <c r="W12" s="3">
        <v>426</v>
      </c>
      <c r="X12" s="3">
        <v>397</v>
      </c>
      <c r="Y12" s="3">
        <v>490</v>
      </c>
      <c r="Z12" s="3">
        <v>615</v>
      </c>
      <c r="AA12" s="3">
        <v>580</v>
      </c>
      <c r="AB12" s="3">
        <v>1005</v>
      </c>
      <c r="AC12" s="3">
        <v>1663</v>
      </c>
      <c r="AD12" s="3">
        <v>1925</v>
      </c>
      <c r="AE12" s="3">
        <v>1814</v>
      </c>
    </row>
    <row r="13" spans="1:41" x14ac:dyDescent="0.2">
      <c r="B13" s="19" t="s">
        <v>119</v>
      </c>
      <c r="C13" s="6"/>
      <c r="D13" s="6"/>
      <c r="E13" s="6"/>
      <c r="F13" s="6">
        <v>-413</v>
      </c>
      <c r="G13" s="6">
        <v>-328</v>
      </c>
      <c r="H13" s="6">
        <v>-203</v>
      </c>
      <c r="I13" s="6">
        <v>-307</v>
      </c>
      <c r="J13" s="6">
        <v>-379</v>
      </c>
      <c r="K13" s="6">
        <v>-304</v>
      </c>
      <c r="L13" s="6">
        <v>-248</v>
      </c>
      <c r="M13" s="6">
        <v>-272</v>
      </c>
      <c r="N13" s="6">
        <v>-256</v>
      </c>
      <c r="O13" s="6">
        <v>-312</v>
      </c>
      <c r="P13" s="6">
        <v>-312</v>
      </c>
      <c r="Q13" s="6">
        <v>-263</v>
      </c>
      <c r="R13" s="6"/>
      <c r="S13" s="6"/>
      <c r="U13" s="3">
        <v>15</v>
      </c>
      <c r="V13" s="3">
        <v>-2373</v>
      </c>
      <c r="W13" s="3">
        <v>-2144</v>
      </c>
      <c r="X13" s="3">
        <v>-414</v>
      </c>
      <c r="Y13" s="3">
        <v>-852</v>
      </c>
      <c r="Z13" s="3">
        <v>-912</v>
      </c>
      <c r="AA13" s="3">
        <v>-1173</v>
      </c>
      <c r="AB13" s="3">
        <v>-1151</v>
      </c>
      <c r="AC13" s="3">
        <v>-982</v>
      </c>
      <c r="AD13" s="3">
        <v>-1217</v>
      </c>
      <c r="AE13" s="3">
        <v>-1080</v>
      </c>
    </row>
    <row r="14" spans="1:41" x14ac:dyDescent="0.2">
      <c r="B14" s="19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s="8" customFormat="1" x14ac:dyDescent="0.2">
      <c r="B15" s="8" t="s">
        <v>118</v>
      </c>
      <c r="C15" s="8">
        <v>22003</v>
      </c>
      <c r="D15" s="8">
        <v>23474</v>
      </c>
      <c r="E15" s="8">
        <v>23641</v>
      </c>
      <c r="F15" s="8">
        <f>+AC15-SUM(C15:E15)</f>
        <v>24394</v>
      </c>
      <c r="G15" s="8">
        <v>23242</v>
      </c>
      <c r="H15" s="8">
        <v>22814</v>
      </c>
      <c r="I15" s="8">
        <v>22169</v>
      </c>
      <c r="J15" s="8">
        <f>+SUM(J4:J8)</f>
        <v>21930</v>
      </c>
      <c r="K15" s="8">
        <v>21681</v>
      </c>
      <c r="L15" s="8">
        <v>22165</v>
      </c>
      <c r="M15" s="8">
        <v>21738</v>
      </c>
      <c r="N15" s="8">
        <f>+AE15-SUM(K15:M15)</f>
        <v>22109</v>
      </c>
      <c r="O15" s="8">
        <v>21579</v>
      </c>
      <c r="P15" s="8">
        <v>21967</v>
      </c>
      <c r="Q15" s="8">
        <v>22160</v>
      </c>
      <c r="T15" s="3"/>
      <c r="U15" s="8">
        <f>+SUM(U4:U8)</f>
        <v>45567</v>
      </c>
      <c r="V15" s="8">
        <f>+SUM(V4:V8)</f>
        <v>47453</v>
      </c>
      <c r="W15" s="8">
        <f>+SUM(W4:W8)</f>
        <v>50365</v>
      </c>
      <c r="X15" s="8">
        <f>+SUM(X4:X8)</f>
        <v>60319</v>
      </c>
      <c r="Y15" s="8">
        <f>+SUM(Y4:Y8)</f>
        <v>65450</v>
      </c>
      <c r="Z15" s="8">
        <f>+SUM(Z4:Z8)</f>
        <v>69693</v>
      </c>
      <c r="AA15" s="8">
        <f>+SUM(AA4:AA8)</f>
        <v>69217</v>
      </c>
      <c r="AB15" s="8">
        <f>+SUM(AB4:AB8)</f>
        <v>83959</v>
      </c>
      <c r="AC15" s="8">
        <f>+SUM(AC4:AC8)</f>
        <v>93512</v>
      </c>
      <c r="AD15" s="8">
        <f>+SUM(AD4:AD8)</f>
        <v>90155</v>
      </c>
      <c r="AE15" s="8">
        <f>+SUM(AE4:AE8)</f>
        <v>87693</v>
      </c>
      <c r="AF15" s="8">
        <f>+SUM(AF4:AF8)</f>
        <v>87756</v>
      </c>
      <c r="AG15" s="8">
        <f>+AF15*1.01</f>
        <v>88633.56</v>
      </c>
      <c r="AH15" s="8">
        <f>+AG15*1.01</f>
        <v>89519.895600000003</v>
      </c>
      <c r="AI15" s="8">
        <f>+AH15*1.01</f>
        <v>90415.094556000011</v>
      </c>
      <c r="AJ15" s="8">
        <f>+AI15*1.01</f>
        <v>91319.245501560014</v>
      </c>
      <c r="AK15" s="8">
        <f>+AJ15*1.01</f>
        <v>92232.43795657561</v>
      </c>
      <c r="AL15" s="8">
        <f>+AK15*1.01</f>
        <v>93154.762336141372</v>
      </c>
      <c r="AM15" s="8">
        <f>+AL15*1.01</f>
        <v>94086.309959502789</v>
      </c>
      <c r="AN15" s="8">
        <f>+AM15*1.01</f>
        <v>95027.173059097811</v>
      </c>
      <c r="AO15" s="8">
        <f>+AN15*1.01</f>
        <v>95977.444789688787</v>
      </c>
    </row>
    <row r="16" spans="1:41" x14ac:dyDescent="0.2">
      <c r="B16" s="3" t="s">
        <v>117</v>
      </c>
      <c r="C16" s="3">
        <v>7776</v>
      </c>
      <c r="D16" s="3">
        <v>8135</v>
      </c>
      <c r="E16" s="3">
        <v>8244</v>
      </c>
      <c r="F16" s="3">
        <f>+AC16-SUM(C16:E16)</f>
        <v>7903</v>
      </c>
      <c r="G16" s="3">
        <v>7859</v>
      </c>
      <c r="H16" s="3">
        <v>7792</v>
      </c>
      <c r="I16" s="3">
        <v>7817</v>
      </c>
      <c r="J16" s="3">
        <f>+AD16-SUM(G16:I16)</f>
        <v>7551</v>
      </c>
      <c r="K16" s="3">
        <v>7785</v>
      </c>
      <c r="L16" s="3">
        <v>7833</v>
      </c>
      <c r="M16" s="3">
        <v>7693</v>
      </c>
      <c r="N16" s="3">
        <f>+AE16-SUM(K16:M16)</f>
        <v>7650</v>
      </c>
      <c r="O16" s="3">
        <v>7785</v>
      </c>
      <c r="P16" s="3">
        <v>7879</v>
      </c>
      <c r="Q16" s="3">
        <v>7879</v>
      </c>
      <c r="T16" s="11"/>
      <c r="U16" s="3">
        <v>16171</v>
      </c>
      <c r="V16" s="3">
        <v>17110</v>
      </c>
      <c r="W16" s="3">
        <v>18581</v>
      </c>
      <c r="X16" s="3">
        <v>21542</v>
      </c>
      <c r="Y16" s="3">
        <v>23795</v>
      </c>
      <c r="Z16" s="3">
        <v>24776</v>
      </c>
      <c r="AA16" s="3">
        <v>25031</v>
      </c>
      <c r="AB16" s="3">
        <v>30173</v>
      </c>
      <c r="AC16" s="3">
        <v>32058</v>
      </c>
      <c r="AD16" s="3">
        <v>31019</v>
      </c>
      <c r="AE16" s="3">
        <v>30961</v>
      </c>
    </row>
    <row r="17" spans="2:142" x14ac:dyDescent="0.2">
      <c r="B17" s="3" t="s">
        <v>116</v>
      </c>
      <c r="C17" s="3">
        <v>5659</v>
      </c>
      <c r="D17" s="3">
        <v>6241</v>
      </c>
      <c r="E17" s="3">
        <v>6272</v>
      </c>
      <c r="F17" s="3">
        <f>+AC17-SUM(C17:E17)</f>
        <v>5946</v>
      </c>
      <c r="G17" s="3">
        <v>5767</v>
      </c>
      <c r="H17" s="3">
        <v>5665</v>
      </c>
      <c r="I17" s="3">
        <v>5402</v>
      </c>
      <c r="J17" s="3">
        <f>+AD17-SUM(G17:I17)</f>
        <v>4956</v>
      </c>
      <c r="K17" s="3">
        <v>5036</v>
      </c>
      <c r="L17" s="3">
        <v>5395</v>
      </c>
      <c r="M17" s="3">
        <v>5345</v>
      </c>
      <c r="N17" s="3">
        <f>+AE17-SUM(K17:M17)</f>
        <v>5145</v>
      </c>
      <c r="O17" s="3">
        <v>5275</v>
      </c>
      <c r="P17" s="3">
        <v>5500</v>
      </c>
      <c r="Q17" s="3">
        <v>5634</v>
      </c>
      <c r="T17" s="11"/>
      <c r="U17" s="3">
        <v>8011</v>
      </c>
      <c r="V17" s="3">
        <v>8483</v>
      </c>
      <c r="W17" s="3">
        <v>9966</v>
      </c>
      <c r="X17" s="3">
        <v>13611</v>
      </c>
      <c r="Y17" s="3">
        <v>15101</v>
      </c>
      <c r="Z17" s="3">
        <v>16654</v>
      </c>
      <c r="AA17" s="3">
        <v>17466</v>
      </c>
      <c r="AB17" s="3">
        <v>21674</v>
      </c>
      <c r="AC17" s="3">
        <v>24118</v>
      </c>
      <c r="AD17" s="3">
        <v>21790</v>
      </c>
      <c r="AE17" s="3">
        <v>20921</v>
      </c>
    </row>
    <row r="18" spans="2:142" x14ac:dyDescent="0.2">
      <c r="B18" s="3" t="s">
        <v>115</v>
      </c>
      <c r="C18" s="3">
        <v>1133</v>
      </c>
      <c r="D18" s="3">
        <v>1177</v>
      </c>
      <c r="E18" s="3">
        <v>1225</v>
      </c>
      <c r="F18" s="3">
        <f>+AC18-SUM(C18:E18)</f>
        <v>1177</v>
      </c>
      <c r="G18" s="3">
        <v>1159</v>
      </c>
      <c r="H18" s="3">
        <v>1195</v>
      </c>
      <c r="I18" s="3">
        <v>1205</v>
      </c>
      <c r="J18" s="3">
        <f>+AD18-SUM(G18:I18)</f>
        <v>1179</v>
      </c>
      <c r="K18" s="3">
        <v>1151</v>
      </c>
      <c r="L18" s="3">
        <v>1138</v>
      </c>
      <c r="M18" s="3">
        <v>1145</v>
      </c>
      <c r="N18" s="3">
        <f>+AE18-SUM(K18:M18)</f>
        <v>1137</v>
      </c>
      <c r="O18" s="3">
        <v>1161</v>
      </c>
      <c r="P18" s="3">
        <v>1168</v>
      </c>
      <c r="Q18" s="3">
        <v>1178</v>
      </c>
      <c r="T18" s="11"/>
      <c r="U18" s="3">
        <v>2622</v>
      </c>
      <c r="V18" s="3">
        <v>2682</v>
      </c>
      <c r="W18" s="3">
        <v>2854</v>
      </c>
      <c r="X18" s="3">
        <v>3240</v>
      </c>
      <c r="Y18" s="3">
        <v>3361</v>
      </c>
      <c r="Z18" s="3">
        <v>3360</v>
      </c>
      <c r="AA18" s="3">
        <v>3712</v>
      </c>
      <c r="AB18" s="3">
        <v>4155</v>
      </c>
      <c r="AC18" s="3">
        <v>4712</v>
      </c>
      <c r="AD18" s="3">
        <v>4738</v>
      </c>
      <c r="AE18" s="3">
        <v>4571</v>
      </c>
    </row>
    <row r="19" spans="2:142" x14ac:dyDescent="0.2">
      <c r="B19" s="3" t="s">
        <v>63</v>
      </c>
      <c r="C19" s="3">
        <v>971</v>
      </c>
      <c r="D19" s="3">
        <v>995</v>
      </c>
      <c r="E19" s="3">
        <v>986</v>
      </c>
      <c r="F19" s="3">
        <f>+AC19-SUM(C19:E19)</f>
        <v>1018</v>
      </c>
      <c r="G19" s="3">
        <v>1024</v>
      </c>
      <c r="H19" s="3">
        <v>1046</v>
      </c>
      <c r="I19" s="3">
        <v>1031</v>
      </c>
      <c r="J19" s="3">
        <f>+AD19-SUM(G19:I19)</f>
        <v>1075</v>
      </c>
      <c r="K19" s="3">
        <v>1071</v>
      </c>
      <c r="L19" s="3">
        <v>1040</v>
      </c>
      <c r="M19" s="3">
        <v>1072</v>
      </c>
      <c r="N19" s="3">
        <f>+AE19-SUM(K19:M19)</f>
        <v>1104</v>
      </c>
      <c r="O19" s="3">
        <v>1078</v>
      </c>
      <c r="P19" s="3">
        <v>1063</v>
      </c>
      <c r="Q19" s="3">
        <v>1066</v>
      </c>
      <c r="T19" s="11"/>
      <c r="U19" s="3">
        <v>2587</v>
      </c>
      <c r="V19" s="3">
        <v>2611</v>
      </c>
      <c r="W19" s="3">
        <v>2631</v>
      </c>
      <c r="X19" s="3">
        <v>2995</v>
      </c>
      <c r="Y19" s="3">
        <v>3095</v>
      </c>
      <c r="Z19" s="3">
        <v>3353</v>
      </c>
      <c r="AA19" s="3">
        <v>3615</v>
      </c>
      <c r="AB19" s="3">
        <v>3793</v>
      </c>
      <c r="AC19" s="3">
        <v>3970</v>
      </c>
      <c r="AD19" s="3">
        <v>4176</v>
      </c>
      <c r="AE19" s="3">
        <v>4287</v>
      </c>
    </row>
    <row r="20" spans="2:142" x14ac:dyDescent="0.2">
      <c r="B20" s="3" t="s">
        <v>114</v>
      </c>
      <c r="C20" s="3">
        <v>1009</v>
      </c>
      <c r="D20" s="3">
        <v>1145</v>
      </c>
      <c r="E20" s="3">
        <v>1201</v>
      </c>
      <c r="F20" s="3">
        <f>+AC20-SUM(C20:E20)</f>
        <v>1760</v>
      </c>
      <c r="G20" s="3">
        <v>1822</v>
      </c>
      <c r="H20" s="3">
        <v>1593</v>
      </c>
      <c r="I20" s="3">
        <v>1350</v>
      </c>
      <c r="J20" s="3">
        <f>+AD20-SUM(G20:I20)</f>
        <v>1144</v>
      </c>
      <c r="K20" s="3">
        <v>1101</v>
      </c>
      <c r="L20" s="3">
        <v>1328</v>
      </c>
      <c r="M20" s="3">
        <v>1140</v>
      </c>
      <c r="N20" s="3">
        <f>+AE20-SUM(K20:M20)</f>
        <v>1141</v>
      </c>
      <c r="O20" s="3">
        <v>1075</v>
      </c>
      <c r="P20" s="3">
        <v>947</v>
      </c>
      <c r="Q20" s="3">
        <v>889</v>
      </c>
      <c r="T20" s="11"/>
      <c r="U20" s="3">
        <v>4557</v>
      </c>
      <c r="V20" s="3">
        <v>3720</v>
      </c>
      <c r="W20" s="3">
        <v>2399</v>
      </c>
      <c r="X20" s="3">
        <v>2773</v>
      </c>
      <c r="Y20" s="3">
        <v>3374</v>
      </c>
      <c r="Z20" s="3">
        <v>3889</v>
      </c>
      <c r="AA20" s="3">
        <v>3156</v>
      </c>
      <c r="AB20" s="3">
        <v>2882</v>
      </c>
      <c r="AC20" s="3">
        <v>5115</v>
      </c>
      <c r="AD20" s="3">
        <v>5909</v>
      </c>
      <c r="AE20" s="3">
        <v>4710</v>
      </c>
    </row>
    <row r="21" spans="2:142" x14ac:dyDescent="0.2">
      <c r="B21" s="3" t="s">
        <v>113</v>
      </c>
      <c r="C21" s="3">
        <v>869</v>
      </c>
      <c r="D21" s="3">
        <v>839</v>
      </c>
      <c r="E21" s="3">
        <v>822</v>
      </c>
      <c r="F21" s="3">
        <f>+AC21-SUM(C21:E21)</f>
        <v>842</v>
      </c>
      <c r="G21" s="3">
        <v>904</v>
      </c>
      <c r="H21" s="3">
        <v>882</v>
      </c>
      <c r="I21" s="3">
        <v>789</v>
      </c>
      <c r="J21" s="3">
        <f>+AD21-SUM(G21:I21)</f>
        <v>782</v>
      </c>
      <c r="K21" s="3">
        <v>824</v>
      </c>
      <c r="L21" s="3">
        <v>854</v>
      </c>
      <c r="M21" s="3">
        <v>804</v>
      </c>
      <c r="N21" s="3">
        <f>+AE21-SUM(K21:M21)</f>
        <v>809</v>
      </c>
      <c r="O21" s="3">
        <v>829</v>
      </c>
      <c r="P21" s="3">
        <v>831</v>
      </c>
      <c r="Q21" s="3">
        <v>783</v>
      </c>
      <c r="T21" s="11"/>
      <c r="U21" s="3">
        <v>1862</v>
      </c>
      <c r="V21" s="3">
        <v>2099</v>
      </c>
      <c r="W21" s="3">
        <v>2108</v>
      </c>
      <c r="X21" s="3">
        <v>2374</v>
      </c>
      <c r="Y21" s="3">
        <v>2622</v>
      </c>
      <c r="Z21" s="3">
        <v>2834</v>
      </c>
      <c r="AA21" s="3">
        <v>2893</v>
      </c>
      <c r="AB21" s="3">
        <v>3328</v>
      </c>
      <c r="AC21" s="3">
        <v>3372</v>
      </c>
      <c r="AD21" s="3">
        <v>3357</v>
      </c>
      <c r="AE21" s="3">
        <v>3291</v>
      </c>
    </row>
    <row r="22" spans="2:142" x14ac:dyDescent="0.2">
      <c r="B22" s="3" t="s">
        <v>59</v>
      </c>
      <c r="C22" s="3">
        <v>67</v>
      </c>
      <c r="D22" s="3">
        <v>44</v>
      </c>
      <c r="E22" s="3">
        <v>107</v>
      </c>
      <c r="F22" s="3">
        <f>+AC22-SUM(C22:E22)</f>
        <v>60</v>
      </c>
      <c r="G22" s="3">
        <v>38</v>
      </c>
      <c r="H22" s="3">
        <v>36</v>
      </c>
      <c r="I22" s="3">
        <v>123</v>
      </c>
      <c r="J22" s="3">
        <f>+AD22-SUM(G22:I22)</f>
        <v>112</v>
      </c>
      <c r="K22" s="3">
        <v>105</v>
      </c>
      <c r="L22" s="3">
        <v>145</v>
      </c>
      <c r="M22" s="3">
        <v>114</v>
      </c>
      <c r="N22" s="3">
        <f>+AE22-SUM(K22:M22)</f>
        <v>218</v>
      </c>
      <c r="O22" s="3">
        <v>128</v>
      </c>
      <c r="P22" s="3">
        <v>326</v>
      </c>
      <c r="Q22" s="3">
        <v>179</v>
      </c>
      <c r="T22" s="11"/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320</v>
      </c>
      <c r="AA22" s="3">
        <v>0</v>
      </c>
      <c r="AB22" s="3">
        <v>116</v>
      </c>
      <c r="AC22" s="3">
        <v>278</v>
      </c>
      <c r="AD22" s="3">
        <v>309</v>
      </c>
      <c r="AE22" s="3">
        <v>582</v>
      </c>
    </row>
    <row r="23" spans="2:142" x14ac:dyDescent="0.2">
      <c r="B23" s="3" t="s">
        <v>46</v>
      </c>
      <c r="C23" s="3">
        <v>3121</v>
      </c>
      <c r="D23" s="3">
        <v>3301</v>
      </c>
      <c r="E23" s="3">
        <v>3458</v>
      </c>
      <c r="F23" s="3">
        <f>+AC23-SUM(C23:E23)</f>
        <v>3764</v>
      </c>
      <c r="G23" s="3">
        <v>3478</v>
      </c>
      <c r="H23" s="3">
        <v>3429</v>
      </c>
      <c r="I23" s="3">
        <v>3410</v>
      </c>
      <c r="J23" s="3">
        <f>+AD23-SUM(G23:I23)</f>
        <v>3511</v>
      </c>
      <c r="K23" s="3">
        <v>3123</v>
      </c>
      <c r="L23" s="3">
        <v>3156</v>
      </c>
      <c r="M23" s="3">
        <v>3182</v>
      </c>
      <c r="N23" s="3">
        <f>+AE23-SUM(K23:M23)</f>
        <v>3193</v>
      </c>
      <c r="O23" s="3">
        <v>3168</v>
      </c>
      <c r="P23" s="3">
        <v>3201</v>
      </c>
      <c r="Q23" s="3">
        <v>3260</v>
      </c>
      <c r="T23" s="11"/>
      <c r="U23" s="3">
        <v>5927</v>
      </c>
      <c r="V23" s="3">
        <v>6415</v>
      </c>
      <c r="W23" s="3">
        <v>7251</v>
      </c>
      <c r="X23" s="3">
        <v>8771</v>
      </c>
      <c r="Y23" s="3">
        <v>9450</v>
      </c>
      <c r="Z23" s="3">
        <v>10041</v>
      </c>
      <c r="AA23" s="3">
        <v>10492</v>
      </c>
      <c r="AB23" s="3">
        <v>11981</v>
      </c>
      <c r="AC23" s="3">
        <v>13644</v>
      </c>
      <c r="AD23" s="3">
        <v>13828</v>
      </c>
      <c r="AE23" s="3">
        <v>12654</v>
      </c>
    </row>
    <row r="24" spans="2:142" x14ac:dyDescent="0.2">
      <c r="B24" s="3" t="s">
        <v>112</v>
      </c>
      <c r="C24" s="3">
        <f>+SUM(C16:C23)</f>
        <v>20605</v>
      </c>
      <c r="D24" s="3">
        <f>+SUM(D16:D23)</f>
        <v>21877</v>
      </c>
      <c r="E24" s="3">
        <f>+SUM(E16:E23)</f>
        <v>22315</v>
      </c>
      <c r="F24" s="3">
        <f>+SUM(F16:F23)</f>
        <v>22470</v>
      </c>
      <c r="G24" s="3">
        <f>+SUM(G16:G23)</f>
        <v>22051</v>
      </c>
      <c r="H24" s="3">
        <f>+SUM(H16:H23)</f>
        <v>21638</v>
      </c>
      <c r="I24" s="3">
        <f>+SUM(I16:I23)</f>
        <v>21127</v>
      </c>
      <c r="J24" s="3">
        <f>+SUM(J16:J23)</f>
        <v>20310</v>
      </c>
      <c r="K24" s="3">
        <f>+SUM(K16:K23)</f>
        <v>20196</v>
      </c>
      <c r="L24" s="3">
        <f>+SUM(L16:L23)</f>
        <v>20889</v>
      </c>
      <c r="M24" s="3">
        <f>+SUM(M16:M23)</f>
        <v>20495</v>
      </c>
      <c r="N24" s="3">
        <f>+SUM(N16:N23)</f>
        <v>20397</v>
      </c>
      <c r="O24" s="3">
        <f>+SUM(O16:O23)</f>
        <v>20499</v>
      </c>
      <c r="P24" s="3">
        <f>+SUM(P16:P23)</f>
        <v>20915</v>
      </c>
      <c r="Q24" s="3">
        <f>+SUM(Q16:Q23)</f>
        <v>20868</v>
      </c>
      <c r="T24" s="11"/>
      <c r="U24" s="3">
        <f>+SUM(U16:U23)</f>
        <v>41737</v>
      </c>
      <c r="V24" s="3">
        <f>+SUM(V16:V23)</f>
        <v>43120</v>
      </c>
      <c r="W24" s="3">
        <f>+SUM(W16:W23)</f>
        <v>45790</v>
      </c>
      <c r="X24" s="3">
        <f>+SUM(X16:X23)</f>
        <v>55306</v>
      </c>
      <c r="Y24" s="3">
        <f>+SUM(Y16:Y23)</f>
        <v>60798</v>
      </c>
      <c r="Z24" s="3">
        <f>+SUM(Z16:Z23)</f>
        <v>65227</v>
      </c>
      <c r="AA24" s="3">
        <f>+SUM(AA16:AA23)</f>
        <v>66365</v>
      </c>
      <c r="AB24" s="3">
        <f>+SUM(AB16:AB23)</f>
        <v>78102</v>
      </c>
      <c r="AC24" s="3">
        <f>+SUM(AC16:AC23)</f>
        <v>87267</v>
      </c>
      <c r="AD24" s="3">
        <f>+SUM(AD16:AD23)</f>
        <v>85126</v>
      </c>
      <c r="AE24" s="3">
        <f>+SUM(AE16:AE23)</f>
        <v>81977</v>
      </c>
      <c r="AF24" s="3">
        <f>+AE24</f>
        <v>81977</v>
      </c>
      <c r="AG24" s="3">
        <f>+AF24*1.01</f>
        <v>82796.77</v>
      </c>
      <c r="AH24" s="3">
        <f>+AG24*1.01</f>
        <v>83624.737699999998</v>
      </c>
      <c r="AI24" s="3">
        <f>+AH24*1.01</f>
        <v>84460.985077000005</v>
      </c>
      <c r="AJ24" s="3">
        <f>+AI24*1.01</f>
        <v>85305.594927770013</v>
      </c>
      <c r="AK24" s="3">
        <f>+AJ24*1.01</f>
        <v>86158.650877047708</v>
      </c>
      <c r="AL24" s="3">
        <f>+AK24*1.01</f>
        <v>87020.237385818182</v>
      </c>
      <c r="AM24" s="3">
        <f>+AL24*1.01</f>
        <v>87890.439759676359</v>
      </c>
      <c r="AN24" s="3">
        <f>+AM24*1.01</f>
        <v>88769.344157273124</v>
      </c>
      <c r="AO24" s="3">
        <f>+AN24*1.01</f>
        <v>89657.037598845855</v>
      </c>
    </row>
    <row r="25" spans="2:142" s="8" customFormat="1" x14ac:dyDescent="0.2">
      <c r="B25" s="8" t="s">
        <v>111</v>
      </c>
      <c r="C25" s="8">
        <f>+C15-C24</f>
        <v>1398</v>
      </c>
      <c r="D25" s="8">
        <f>+D15-D24</f>
        <v>1597</v>
      </c>
      <c r="E25" s="8">
        <f>+E15-E24</f>
        <v>1326</v>
      </c>
      <c r="F25" s="8">
        <f>+F15-F24</f>
        <v>1924</v>
      </c>
      <c r="G25" s="8">
        <f>+G15-G24</f>
        <v>1191</v>
      </c>
      <c r="H25" s="8">
        <f>+H15-H24</f>
        <v>1176</v>
      </c>
      <c r="I25" s="8">
        <f>+I15-I24</f>
        <v>1042</v>
      </c>
      <c r="J25" s="8">
        <f>+J15-J24</f>
        <v>1620</v>
      </c>
      <c r="K25" s="8">
        <f>+K15-K24</f>
        <v>1485</v>
      </c>
      <c r="L25" s="8">
        <f>+L15-L24</f>
        <v>1276</v>
      </c>
      <c r="M25" s="8">
        <f>+M15-M24</f>
        <v>1243</v>
      </c>
      <c r="N25" s="8">
        <f>+N15-N24</f>
        <v>1712</v>
      </c>
      <c r="O25" s="8">
        <f>+O15-O24</f>
        <v>1080</v>
      </c>
      <c r="P25" s="8">
        <f>+P15-P24</f>
        <v>1052</v>
      </c>
      <c r="Q25" s="8">
        <f>+Q15-Q24</f>
        <v>1292</v>
      </c>
      <c r="U25" s="8">
        <f>+U15-U24</f>
        <v>3830</v>
      </c>
      <c r="V25" s="8">
        <f>+V15-V24</f>
        <v>4333</v>
      </c>
      <c r="W25" s="8">
        <f>+W15-W24</f>
        <v>4575</v>
      </c>
      <c r="X25" s="8">
        <f>+X15-X24</f>
        <v>5013</v>
      </c>
      <c r="Y25" s="8">
        <f>+Y15-Y24</f>
        <v>4652</v>
      </c>
      <c r="Z25" s="8">
        <f>+Z15-Z24</f>
        <v>4466</v>
      </c>
      <c r="AA25" s="8">
        <f>+AA15-AA24</f>
        <v>2852</v>
      </c>
      <c r="AB25" s="8">
        <f>+AB15-AB24</f>
        <v>5857</v>
      </c>
      <c r="AC25" s="8">
        <f>+AC15-AC24</f>
        <v>6245</v>
      </c>
      <c r="AD25" s="8">
        <f>+AD15-AD24</f>
        <v>5029</v>
      </c>
      <c r="AE25" s="8">
        <f>+AE15-AE24</f>
        <v>5716</v>
      </c>
      <c r="AF25" s="8">
        <f>+AF15-AF24</f>
        <v>5779</v>
      </c>
      <c r="AG25" s="8">
        <f>+AG15-AG24</f>
        <v>5836.7899999999936</v>
      </c>
      <c r="AH25" s="8">
        <f>+AH15-AH24</f>
        <v>5895.1579000000056</v>
      </c>
      <c r="AI25" s="8">
        <f>+AI15-AI24</f>
        <v>5954.1094790000061</v>
      </c>
      <c r="AJ25" s="8">
        <f>+AJ15-AJ24</f>
        <v>6013.6505737900006</v>
      </c>
      <c r="AK25" s="8">
        <f>+AK15-AK24</f>
        <v>6073.7870795279014</v>
      </c>
      <c r="AL25" s="8">
        <f>+AL15-AL24</f>
        <v>6134.5249503231898</v>
      </c>
      <c r="AM25" s="8">
        <f>+AM15-AM24</f>
        <v>6195.8701998264296</v>
      </c>
      <c r="AN25" s="8">
        <f>+AN15-AN24</f>
        <v>6257.8289018246869</v>
      </c>
      <c r="AO25" s="8">
        <f>+AO15-AO24</f>
        <v>6320.4071908429323</v>
      </c>
    </row>
    <row r="26" spans="2:142" x14ac:dyDescent="0.2">
      <c r="B26" s="3" t="s">
        <v>110</v>
      </c>
      <c r="C26" s="3">
        <v>-160</v>
      </c>
      <c r="D26" s="3">
        <v>-155</v>
      </c>
      <c r="E26" s="3">
        <v>-163</v>
      </c>
      <c r="F26" s="3">
        <f>+AC26-SUM(C26:E26)</f>
        <v>-158</v>
      </c>
      <c r="G26" s="3">
        <v>-142</v>
      </c>
      <c r="H26" s="3">
        <v>-127</v>
      </c>
      <c r="I26" s="3">
        <v>-122</v>
      </c>
      <c r="J26" s="3">
        <f>+AD26-SUM(G26:I26)</f>
        <v>-105</v>
      </c>
      <c r="K26" s="3">
        <v>-91</v>
      </c>
      <c r="L26" s="3">
        <v>-97</v>
      </c>
      <c r="M26" s="3">
        <v>-91</v>
      </c>
      <c r="N26" s="3">
        <f>+AE26-SUM(K26:M26)</f>
        <v>-96</v>
      </c>
      <c r="O26" s="3">
        <v>-84</v>
      </c>
      <c r="P26" s="3">
        <v>-102</v>
      </c>
      <c r="Q26" s="3">
        <v>-116</v>
      </c>
      <c r="U26" s="3">
        <v>-142</v>
      </c>
      <c r="V26" s="3">
        <v>-221</v>
      </c>
      <c r="W26" s="3">
        <v>-479</v>
      </c>
      <c r="X26" s="3">
        <v>-479</v>
      </c>
      <c r="Y26" s="3">
        <v>-510</v>
      </c>
      <c r="Z26" s="3">
        <v>-529</v>
      </c>
      <c r="AA26" s="3">
        <v>-617</v>
      </c>
      <c r="AB26" s="3">
        <v>-741</v>
      </c>
      <c r="AC26" s="3">
        <f>-689+53</f>
        <v>-636</v>
      </c>
      <c r="AD26" s="3">
        <f>-694+198</f>
        <v>-496</v>
      </c>
      <c r="AE26" s="3">
        <f>-745+370</f>
        <v>-375</v>
      </c>
      <c r="AF26" s="3">
        <f>+AE55*$AR$36</f>
        <v>-1233.18</v>
      </c>
      <c r="AG26" s="3">
        <f>+AF55*$AR$36</f>
        <v>-864.92343599999992</v>
      </c>
      <c r="AH26" s="3">
        <f>+AG55*$AR$36</f>
        <v>-466.75840320720033</v>
      </c>
      <c r="AI26" s="3">
        <f>+AH55*$AR$36</f>
        <v>-36.544758532345412</v>
      </c>
      <c r="AJ26" s="3">
        <f>+AI55*$AR$36</f>
        <v>428.00828484448436</v>
      </c>
      <c r="AK26" s="3">
        <f>+AJ55*$AR$36</f>
        <v>929.3527367206251</v>
      </c>
      <c r="AL26" s="3">
        <f>+AK55*$AR$36</f>
        <v>1470.1131518212715</v>
      </c>
      <c r="AM26" s="3">
        <f>+AL55*$AR$36</f>
        <v>2053.0987465918129</v>
      </c>
      <c r="AN26" s="3">
        <f>+AM55*$AR$36</f>
        <v>2681.3163666303735</v>
      </c>
      <c r="AO26" s="3">
        <f>+AN55*$AR$36</f>
        <v>3357.9843644759185</v>
      </c>
    </row>
    <row r="27" spans="2:142" x14ac:dyDescent="0.2">
      <c r="B27" s="3" t="s">
        <v>46</v>
      </c>
      <c r="C27" s="3">
        <f>216+3</f>
        <v>219</v>
      </c>
      <c r="D27" s="3">
        <f>-47-15</f>
        <v>-62</v>
      </c>
      <c r="E27" s="3">
        <f>211+1</f>
        <v>212</v>
      </c>
      <c r="F27" s="3">
        <f>+AC27-SUM(C27:E27)</f>
        <v>-1082</v>
      </c>
      <c r="G27" s="3">
        <f>101+4</f>
        <v>105</v>
      </c>
      <c r="H27" s="3">
        <f>101-91</f>
        <v>10</v>
      </c>
      <c r="I27" s="3">
        <v>102</v>
      </c>
      <c r="J27" s="3">
        <f>+AD27-SUM(G27:I27)</f>
        <v>730</v>
      </c>
      <c r="K27" s="3">
        <f>39-10</f>
        <v>29</v>
      </c>
      <c r="L27" s="3">
        <f>41-18</f>
        <v>23</v>
      </c>
      <c r="M27" s="3">
        <f>40-9</f>
        <v>31</v>
      </c>
      <c r="N27" s="3">
        <f>+AE27-SUM(K27:M27)</f>
        <v>569</v>
      </c>
      <c r="O27" s="3">
        <f>49+11</f>
        <v>60</v>
      </c>
      <c r="P27" s="3">
        <f>50-19</f>
        <v>31</v>
      </c>
      <c r="Q27" s="3">
        <f>50-45</f>
        <v>5</v>
      </c>
      <c r="U27" s="3">
        <v>-15</v>
      </c>
      <c r="V27" s="3">
        <v>-19</v>
      </c>
      <c r="W27" s="3">
        <v>21</v>
      </c>
      <c r="X27" s="3">
        <v>21</v>
      </c>
      <c r="Y27" s="3">
        <f>598-7</f>
        <v>591</v>
      </c>
      <c r="Z27" s="3">
        <f>-3251-31</f>
        <v>-3282</v>
      </c>
      <c r="AA27" s="3">
        <f>-122-9</f>
        <v>-131</v>
      </c>
      <c r="AB27" s="3">
        <f>1983-32</f>
        <v>1951</v>
      </c>
      <c r="AC27" s="3">
        <f>-726+13</f>
        <v>-713</v>
      </c>
      <c r="AD27" s="3">
        <f>1054-107</f>
        <v>947</v>
      </c>
      <c r="AE27" s="3">
        <f>722-70</f>
        <v>652</v>
      </c>
      <c r="AF27" s="3">
        <v>700</v>
      </c>
      <c r="AG27" s="3">
        <v>700</v>
      </c>
      <c r="AH27" s="3">
        <v>700</v>
      </c>
      <c r="AI27" s="3">
        <v>700</v>
      </c>
      <c r="AJ27" s="3">
        <v>700</v>
      </c>
      <c r="AK27" s="3">
        <v>700</v>
      </c>
      <c r="AL27" s="3">
        <v>700</v>
      </c>
      <c r="AM27" s="3">
        <v>700</v>
      </c>
      <c r="AN27" s="3">
        <v>700</v>
      </c>
      <c r="AO27" s="3">
        <v>700</v>
      </c>
    </row>
    <row r="28" spans="2:142" x14ac:dyDescent="0.2">
      <c r="B28" s="3" t="s">
        <v>109</v>
      </c>
      <c r="C28" s="3">
        <f>+C25+SUM(C26:C27)</f>
        <v>1457</v>
      </c>
      <c r="D28" s="3">
        <f>+D25+SUM(D26:D27)</f>
        <v>1380</v>
      </c>
      <c r="E28" s="3">
        <f>+E25+SUM(E26:E27)</f>
        <v>1375</v>
      </c>
      <c r="F28" s="3">
        <f>+F25+SUM(F26:F27)</f>
        <v>684</v>
      </c>
      <c r="G28" s="3">
        <f>+G25+SUM(G26:G27)</f>
        <v>1154</v>
      </c>
      <c r="H28" s="3">
        <f>+H25+SUM(H26:H27)</f>
        <v>1059</v>
      </c>
      <c r="I28" s="3">
        <f>+I25+SUM(I26:I27)</f>
        <v>1022</v>
      </c>
      <c r="J28" s="3">
        <f>+J25+SUM(J26:J27)</f>
        <v>2245</v>
      </c>
      <c r="K28" s="3">
        <f>+K25+SUM(K26:K27)</f>
        <v>1423</v>
      </c>
      <c r="L28" s="3">
        <f>+L25+SUM(L26:L27)</f>
        <v>1202</v>
      </c>
      <c r="M28" s="3">
        <f>+M25+SUM(M26:M27)</f>
        <v>1183</v>
      </c>
      <c r="N28" s="3">
        <f>+N25+SUM(N26:N27)</f>
        <v>2185</v>
      </c>
      <c r="O28" s="3">
        <f>+O25+SUM(O26:O27)</f>
        <v>1056</v>
      </c>
      <c r="P28" s="3">
        <f>+P25+SUM(P26:P27)</f>
        <v>981</v>
      </c>
      <c r="Q28" s="3">
        <f>+Q25+SUM(Q26:Q27)</f>
        <v>1181</v>
      </c>
      <c r="U28" s="3">
        <f>+U25+SUM(U26:U27)</f>
        <v>3673</v>
      </c>
      <c r="V28" s="3">
        <f>+V25+SUM(V26:V27)</f>
        <v>4093</v>
      </c>
      <c r="W28" s="3">
        <f>+W25+SUM(W26:W27)</f>
        <v>4117</v>
      </c>
      <c r="X28" s="3">
        <f>+X25+SUM(X26:X27)</f>
        <v>4555</v>
      </c>
      <c r="Y28" s="3">
        <f>+Y25+SUM(Y26:Y27)</f>
        <v>4733</v>
      </c>
      <c r="Z28" s="3">
        <f>+Z25+SUM(Z26:Z27)</f>
        <v>655</v>
      </c>
      <c r="AA28" s="3">
        <f>+AA25+SUM(AA26:AA27)</f>
        <v>2104</v>
      </c>
      <c r="AB28" s="3">
        <f>+AB25+SUM(AB26:AB27)</f>
        <v>7067</v>
      </c>
      <c r="AC28" s="3">
        <f>+AC25+SUM(AC26:AC27)</f>
        <v>4896</v>
      </c>
      <c r="AD28" s="3">
        <f>+AD25+SUM(AD26:AD27)</f>
        <v>5480</v>
      </c>
      <c r="AE28" s="3">
        <f>+AE25+SUM(AE26:AE27)</f>
        <v>5993</v>
      </c>
      <c r="AF28" s="3">
        <f>+AF25+SUM(AF26:AF27)</f>
        <v>5245.82</v>
      </c>
      <c r="AG28" s="3">
        <f>+AG25+SUM(AG26:AG27)</f>
        <v>5671.8665639999936</v>
      </c>
      <c r="AH28" s="3">
        <f>+AH25+SUM(AH26:AH27)</f>
        <v>6128.3994967928056</v>
      </c>
      <c r="AI28" s="3">
        <f>+AI25+SUM(AI26:AI27)</f>
        <v>6617.5647204676607</v>
      </c>
      <c r="AJ28" s="3">
        <f>+AJ25+SUM(AJ26:AJ27)</f>
        <v>7141.6588586344851</v>
      </c>
      <c r="AK28" s="3">
        <f>+AK25+SUM(AK26:AK27)</f>
        <v>7703.1398162485266</v>
      </c>
      <c r="AL28" s="3">
        <f>+AL25+SUM(AL26:AL27)</f>
        <v>8304.6381021444613</v>
      </c>
      <c r="AM28" s="3">
        <f>+AM25+SUM(AM26:AM27)</f>
        <v>8948.9689464182429</v>
      </c>
      <c r="AN28" s="3">
        <f>+AN25+SUM(AN26:AN27)</f>
        <v>9639.1452684550604</v>
      </c>
      <c r="AO28" s="3">
        <f>+AO25+SUM(AO26:AO27)</f>
        <v>10378.391555318851</v>
      </c>
    </row>
    <row r="29" spans="2:142" x14ac:dyDescent="0.2">
      <c r="B29" s="3" t="s">
        <v>108</v>
      </c>
      <c r="C29" s="3">
        <v>345</v>
      </c>
      <c r="D29" s="3">
        <v>336</v>
      </c>
      <c r="E29" s="3">
        <v>263</v>
      </c>
      <c r="F29" s="3">
        <f>+AC29-SUM(C29:E29)</f>
        <v>126</v>
      </c>
      <c r="G29" s="3">
        <v>279</v>
      </c>
      <c r="H29" s="3">
        <v>271</v>
      </c>
      <c r="I29" s="3">
        <v>251</v>
      </c>
      <c r="J29" s="3">
        <f>+AD29-SUM(G29:I29)</f>
        <v>590</v>
      </c>
      <c r="K29" s="3">
        <v>345</v>
      </c>
      <c r="L29" s="3">
        <v>302</v>
      </c>
      <c r="M29" s="3">
        <v>304</v>
      </c>
      <c r="N29" s="3">
        <f>+AE29-SUM(K29:M29)</f>
        <v>554</v>
      </c>
      <c r="O29" s="3">
        <v>262</v>
      </c>
      <c r="P29" s="3">
        <v>240</v>
      </c>
      <c r="Q29" s="3">
        <v>272</v>
      </c>
      <c r="U29" s="3">
        <v>1334</v>
      </c>
      <c r="V29" s="3">
        <v>577</v>
      </c>
      <c r="W29" s="3">
        <v>1582</v>
      </c>
      <c r="X29" s="3">
        <v>1582</v>
      </c>
      <c r="Y29" s="3">
        <v>-219</v>
      </c>
      <c r="Z29" s="3">
        <v>115</v>
      </c>
      <c r="AA29" s="3">
        <v>383</v>
      </c>
      <c r="AB29" s="3">
        <v>1443</v>
      </c>
      <c r="AC29" s="3">
        <v>1070</v>
      </c>
      <c r="AD29" s="3">
        <v>1391</v>
      </c>
      <c r="AE29" s="3">
        <v>1505</v>
      </c>
      <c r="AF29" s="3">
        <f>+AF28*0.22</f>
        <v>1154.0804000000001</v>
      </c>
      <c r="AG29" s="3">
        <f>+AG28*0.22</f>
        <v>1247.8106440799986</v>
      </c>
      <c r="AH29" s="3">
        <f>+AH28*0.22</f>
        <v>1348.2478892944173</v>
      </c>
      <c r="AI29" s="3">
        <f>+AI28*0.22</f>
        <v>1455.8642385028854</v>
      </c>
      <c r="AJ29" s="3">
        <f>+AJ28*0.22</f>
        <v>1571.1649488995868</v>
      </c>
      <c r="AK29" s="3">
        <f>+AK28*0.22</f>
        <v>1694.6907595746759</v>
      </c>
      <c r="AL29" s="3">
        <f>+AL28*0.22</f>
        <v>1827.0203824717814</v>
      </c>
      <c r="AM29" s="3">
        <f>+AM28*0.22</f>
        <v>1968.7731682120134</v>
      </c>
      <c r="AN29" s="3">
        <f>+AN28*0.22</f>
        <v>2120.6119590601133</v>
      </c>
      <c r="AO29" s="3">
        <f>+AO28*0.22</f>
        <v>2283.2461421701473</v>
      </c>
    </row>
    <row r="30" spans="2:142" s="8" customFormat="1" x14ac:dyDescent="0.2">
      <c r="B30" s="8" t="s">
        <v>107</v>
      </c>
      <c r="C30" s="8">
        <f>+C28-C29</f>
        <v>1112</v>
      </c>
      <c r="D30" s="8">
        <f>+D28-D29</f>
        <v>1044</v>
      </c>
      <c r="E30" s="8">
        <f>+E28-E29</f>
        <v>1112</v>
      </c>
      <c r="F30" s="8">
        <f>+F28-F29</f>
        <v>558</v>
      </c>
      <c r="G30" s="8">
        <f>+G28-G29</f>
        <v>875</v>
      </c>
      <c r="H30" s="8">
        <f>+H28-H29</f>
        <v>788</v>
      </c>
      <c r="I30" s="8">
        <f>+I28-I29</f>
        <v>771</v>
      </c>
      <c r="J30" s="8">
        <f>+J28-J29</f>
        <v>1655</v>
      </c>
      <c r="K30" s="8">
        <f>+K28-K29</f>
        <v>1078</v>
      </c>
      <c r="L30" s="8">
        <f>+L28-L29</f>
        <v>900</v>
      </c>
      <c r="M30" s="8">
        <f>+M28-M29</f>
        <v>879</v>
      </c>
      <c r="N30" s="8">
        <f>+N28-N29</f>
        <v>1631</v>
      </c>
      <c r="O30" s="8">
        <f>+O28-O29</f>
        <v>794</v>
      </c>
      <c r="P30" s="8">
        <f>+P28-P29</f>
        <v>741</v>
      </c>
      <c r="Q30" s="8">
        <f>+Q28-Q29</f>
        <v>909</v>
      </c>
      <c r="U30" s="8">
        <f>+U28-U29</f>
        <v>2339</v>
      </c>
      <c r="V30" s="8">
        <f>+V28-V29</f>
        <v>3516</v>
      </c>
      <c r="W30" s="8">
        <f>+W28-W29</f>
        <v>2535</v>
      </c>
      <c r="X30" s="8">
        <f>+X28-X29</f>
        <v>2973</v>
      </c>
      <c r="Y30" s="8">
        <f>+Y28-Y29</f>
        <v>4952</v>
      </c>
      <c r="Z30" s="8">
        <f>+Z28-Z29</f>
        <v>540</v>
      </c>
      <c r="AA30" s="8">
        <f>+AA28-AA29</f>
        <v>1721</v>
      </c>
      <c r="AB30" s="8">
        <f>+AB28-AB29</f>
        <v>5624</v>
      </c>
      <c r="AC30" s="8">
        <f>+AC28-AC29</f>
        <v>3826</v>
      </c>
      <c r="AD30" s="8">
        <f>+AD28-AD29</f>
        <v>4089</v>
      </c>
      <c r="AE30" s="8">
        <f>+AE28-AE29</f>
        <v>4488</v>
      </c>
      <c r="AF30" s="8">
        <f>+AF28-AF29</f>
        <v>4091.7395999999999</v>
      </c>
      <c r="AG30" s="8">
        <f>+AG28-AG29</f>
        <v>4424.0559199199952</v>
      </c>
      <c r="AH30" s="8">
        <f>+AH28-AH29</f>
        <v>4780.1516074983883</v>
      </c>
      <c r="AI30" s="8">
        <f>+AI28-AI29</f>
        <v>5161.7004819647755</v>
      </c>
      <c r="AJ30" s="8">
        <f>+AJ28-AJ29</f>
        <v>5570.4939097348979</v>
      </c>
      <c r="AK30" s="8">
        <f>+AK28-AK29</f>
        <v>6008.4490566738505</v>
      </c>
      <c r="AL30" s="8">
        <f>+AL28-AL29</f>
        <v>6477.6177196726803</v>
      </c>
      <c r="AM30" s="8">
        <f>+AM28-AM29</f>
        <v>6980.1957782062291</v>
      </c>
      <c r="AN30" s="8">
        <f>+AN28-AN29</f>
        <v>7518.5333093949466</v>
      </c>
      <c r="AO30" s="8">
        <f>+AO28-AO29</f>
        <v>8095.1454131487035</v>
      </c>
      <c r="AP30" s="8">
        <f>+AO30*(1+$AR$34)</f>
        <v>8176.096867280191</v>
      </c>
      <c r="AQ30" s="8">
        <f>+AP30*(1+$AR$34)</f>
        <v>8257.8578359529929</v>
      </c>
      <c r="AR30" s="8">
        <f>+AQ30*(1+$AR$34)</f>
        <v>8340.4364143125222</v>
      </c>
      <c r="AS30" s="8">
        <f>+AR30*(1+$AR$34)</f>
        <v>8423.8407784556475</v>
      </c>
      <c r="AT30" s="8">
        <f>+AS30*(1+$AR$34)</f>
        <v>8508.0791862402039</v>
      </c>
      <c r="AU30" s="8">
        <f>+AT30*(1+$AR$34)</f>
        <v>8593.1599781026052</v>
      </c>
      <c r="AV30" s="8">
        <f>+AU30*(1+$AR$34)</f>
        <v>8679.0915778836315</v>
      </c>
      <c r="AW30" s="8">
        <f>+AV30*(1+$AR$34)</f>
        <v>8765.8824936624678</v>
      </c>
      <c r="AX30" s="8">
        <f>+AW30*(1+$AR$34)</f>
        <v>8853.5413185990928</v>
      </c>
      <c r="AY30" s="8">
        <f>+AX30*(1+$AR$34)</f>
        <v>8942.0767317850841</v>
      </c>
      <c r="AZ30" s="8">
        <f>+AY30*(1+$AR$34)</f>
        <v>9031.4974991029358</v>
      </c>
      <c r="BA30" s="8">
        <f>+AZ30*(1+$AR$34)</f>
        <v>9121.8124740939656</v>
      </c>
      <c r="BB30" s="8">
        <f>+BA30*(1+$AR$34)</f>
        <v>9213.0305988349046</v>
      </c>
      <c r="BC30" s="8">
        <f>+BB30*(1+$AR$34)</f>
        <v>9305.1609048232531</v>
      </c>
      <c r="BD30" s="8">
        <f>+BC30*(1+$AR$34)</f>
        <v>9398.2125138714855</v>
      </c>
      <c r="BE30" s="8">
        <f>+BD30*(1+$AR$34)</f>
        <v>9492.1946390102003</v>
      </c>
      <c r="BF30" s="8">
        <f>+BE30*(1+$AR$34)</f>
        <v>9587.1165854003029</v>
      </c>
      <c r="BG30" s="8">
        <f>+BF30*(1+$AR$34)</f>
        <v>9682.9877512543062</v>
      </c>
      <c r="BH30" s="8">
        <f>+BG30*(1+$AR$34)</f>
        <v>9779.8176287668502</v>
      </c>
      <c r="BI30" s="8">
        <f>+BH30*(1+$AR$34)</f>
        <v>9877.6158050545182</v>
      </c>
      <c r="BJ30" s="8">
        <f>+BI30*(1+$AR$34)</f>
        <v>9976.391963105063</v>
      </c>
      <c r="BK30" s="8">
        <f>+BJ30*(1+$AR$34)</f>
        <v>10076.155882736113</v>
      </c>
      <c r="BL30" s="8">
        <f>+BK30*(1+$AR$34)</f>
        <v>10176.917441563475</v>
      </c>
      <c r="BM30" s="8">
        <f>+BL30*(1+$AR$34)</f>
        <v>10278.68661597911</v>
      </c>
      <c r="BN30" s="8">
        <f>+BM30*(1+$AR$34)</f>
        <v>10381.473482138901</v>
      </c>
      <c r="BO30" s="8">
        <f>+BN30*(1+$AR$34)</f>
        <v>10485.288216960291</v>
      </c>
      <c r="BP30" s="8">
        <f>+BO30*(1+$AR$34)</f>
        <v>10590.141099129894</v>
      </c>
      <c r="BQ30" s="8">
        <f>+BP30*(1+$AR$34)</f>
        <v>10696.042510121193</v>
      </c>
      <c r="BR30" s="8">
        <f>+BQ30*(1+$AR$34)</f>
        <v>10803.002935222405</v>
      </c>
      <c r="BS30" s="8">
        <f>+BR30*(1+$AR$34)</f>
        <v>10911.03296457463</v>
      </c>
      <c r="BT30" s="8">
        <f>+BS30*(1+$AR$34)</f>
        <v>11020.143294220376</v>
      </c>
      <c r="BU30" s="8">
        <f>+BT30*(1+$AR$34)</f>
        <v>11130.344727162579</v>
      </c>
      <c r="BV30" s="8">
        <f>+BU30*(1+$AR$34)</f>
        <v>11241.648174434205</v>
      </c>
      <c r="BW30" s="8">
        <f>+BV30*(1+$AR$34)</f>
        <v>11354.064656178547</v>
      </c>
      <c r="BX30" s="8">
        <f>+BW30*(1+$AR$34)</f>
        <v>11467.605302740332</v>
      </c>
      <c r="BY30" s="8">
        <f>+BX30*(1+$AR$34)</f>
        <v>11582.281355767736</v>
      </c>
      <c r="BZ30" s="8">
        <f>+BY30*(1+$AR$34)</f>
        <v>11698.104169325414</v>
      </c>
      <c r="CA30" s="8">
        <f>+BZ30*(1+$AR$34)</f>
        <v>11815.085211018668</v>
      </c>
      <c r="CB30" s="8">
        <f>+CA30*(1+$AR$34)</f>
        <v>11933.236063128854</v>
      </c>
      <c r="CC30" s="8">
        <f>+CB30*(1+$AR$34)</f>
        <v>12052.568423760142</v>
      </c>
      <c r="CD30" s="8">
        <f>+CC30*(1+$AR$34)</f>
        <v>12173.094107997744</v>
      </c>
      <c r="CE30" s="8">
        <f>+CD30*(1+$AR$34)</f>
        <v>12294.825049077721</v>
      </c>
      <c r="CF30" s="8">
        <f>+CE30*(1+$AR$34)</f>
        <v>12417.773299568498</v>
      </c>
      <c r="CG30" s="8">
        <f>+CF30*(1+$AR$34)</f>
        <v>12541.951032564184</v>
      </c>
      <c r="CH30" s="8">
        <f>+CG30*(1+$AR$34)</f>
        <v>12667.370542889827</v>
      </c>
      <c r="CI30" s="8">
        <f>+CH30*(1+$AR$34)</f>
        <v>12794.044248318725</v>
      </c>
      <c r="CJ30" s="8">
        <f>+CI30*(1+$AR$34)</f>
        <v>12921.984690801914</v>
      </c>
      <c r="CK30" s="8">
        <f>+CJ30*(1+$AR$34)</f>
        <v>13051.204537709933</v>
      </c>
      <c r="CL30" s="8">
        <f>+CK30*(1+$AR$34)</f>
        <v>13181.716583087033</v>
      </c>
      <c r="CM30" s="8">
        <f>+CL30*(1+$AR$34)</f>
        <v>13313.533748917904</v>
      </c>
      <c r="CN30" s="8">
        <f>+CM30*(1+$AR$34)</f>
        <v>13446.669086407082</v>
      </c>
      <c r="CO30" s="8">
        <f>+CN30*(1+$AR$34)</f>
        <v>13581.135777271153</v>
      </c>
      <c r="CP30" s="8">
        <f>+CO30*(1+$AR$34)</f>
        <v>13716.947135043863</v>
      </c>
      <c r="CQ30" s="8">
        <f>+CP30*(1+$AR$34)</f>
        <v>13854.116606394302</v>
      </c>
      <c r="CR30" s="8">
        <f>+CQ30*(1+$AR$34)</f>
        <v>13992.657772458246</v>
      </c>
      <c r="CS30" s="8">
        <f>+CR30*(1+$AR$34)</f>
        <v>14132.584350182828</v>
      </c>
      <c r="CT30" s="8">
        <f>+CS30*(1+$AR$34)</f>
        <v>14273.910193684656</v>
      </c>
      <c r="CU30" s="8">
        <f>+CT30*(1+$AR$34)</f>
        <v>14416.649295621502</v>
      </c>
      <c r="CV30" s="8">
        <f>+CU30*(1+$AR$34)</f>
        <v>14560.815788577718</v>
      </c>
      <c r="CW30" s="8">
        <f>+CV30*(1+$AR$34)</f>
        <v>14706.423946463496</v>
      </c>
      <c r="CX30" s="8">
        <f>+CW30*(1+$AR$34)</f>
        <v>14853.48818592813</v>
      </c>
      <c r="CY30" s="8">
        <f>+CX30*(1+$AR$34)</f>
        <v>15002.023067787411</v>
      </c>
      <c r="CZ30" s="8">
        <f>+CY30*(1+$AR$34)</f>
        <v>15152.043298465285</v>
      </c>
      <c r="DA30" s="8">
        <f>+CZ30*(1+$AR$34)</f>
        <v>15303.563731449938</v>
      </c>
      <c r="DB30" s="8">
        <f>+DA30*(1+$AR$34)</f>
        <v>15456.599368764437</v>
      </c>
      <c r="DC30" s="8">
        <f>+DB30*(1+$AR$34)</f>
        <v>15611.16536245208</v>
      </c>
      <c r="DD30" s="8">
        <f>+DC30*(1+$AR$34)</f>
        <v>15767.277016076601</v>
      </c>
      <c r="DE30" s="8">
        <f>+DD30*(1+$AR$34)</f>
        <v>15924.949786237368</v>
      </c>
      <c r="DF30" s="8">
        <f>+DE30*(1+$AR$34)</f>
        <v>16084.199284099743</v>
      </c>
      <c r="DG30" s="8">
        <f>+DF30*(1+$AR$34)</f>
        <v>16245.041276940739</v>
      </c>
      <c r="DH30" s="8">
        <f>+DG30*(1+$AR$34)</f>
        <v>16407.491689710147</v>
      </c>
      <c r="DI30" s="8">
        <f>+DH30*(1+$AR$34)</f>
        <v>16571.566606607248</v>
      </c>
      <c r="DJ30" s="8">
        <f>+DI30*(1+$AR$34)</f>
        <v>16737.282272673321</v>
      </c>
      <c r="DK30" s="8">
        <f>+DJ30*(1+$AR$34)</f>
        <v>16904.655095400056</v>
      </c>
      <c r="DL30" s="8">
        <f>+DK30*(1+$AR$34)</f>
        <v>17073.701646354057</v>
      </c>
      <c r="DM30" s="8">
        <f>+DL30*(1+$AR$34)</f>
        <v>17244.438662817596</v>
      </c>
      <c r="DN30" s="8">
        <f>+DM30*(1+$AR$34)</f>
        <v>17416.883049445772</v>
      </c>
      <c r="DO30" s="8">
        <f>+DN30*(1+$AR$34)</f>
        <v>17591.051879940231</v>
      </c>
      <c r="DP30" s="8">
        <f>+DO30*(1+$AR$34)</f>
        <v>17766.962398739633</v>
      </c>
      <c r="DQ30" s="8">
        <f>+DP30*(1+$AR$34)</f>
        <v>17944.63202272703</v>
      </c>
      <c r="DR30" s="8">
        <f>+DQ30*(1+$AR$34)</f>
        <v>18124.078342954301</v>
      </c>
      <c r="DS30" s="8">
        <f>+DR30*(1+$AR$34)</f>
        <v>18305.319126383845</v>
      </c>
      <c r="DT30" s="8">
        <f>+DS30*(1+$AR$34)</f>
        <v>18488.372317647685</v>
      </c>
      <c r="DU30" s="8">
        <f>+DT30*(1+$AR$34)</f>
        <v>18673.256040824162</v>
      </c>
      <c r="DV30" s="8">
        <f>+DU30*(1+$AR$34)</f>
        <v>18859.988601232406</v>
      </c>
      <c r="DW30" s="8">
        <f>+DV30*(1+$AR$34)</f>
        <v>19048.588487244731</v>
      </c>
      <c r="DX30" s="8">
        <f>+DW30*(1+$AR$34)</f>
        <v>19239.074372117178</v>
      </c>
      <c r="DY30" s="8">
        <f>+DX30*(1+$AR$34)</f>
        <v>19431.465115838349</v>
      </c>
      <c r="DZ30" s="8">
        <f>+DY30*(1+$AR$34)</f>
        <v>19625.779766996733</v>
      </c>
      <c r="EA30" s="8">
        <f>+DZ30*(1+$AR$34)</f>
        <v>19822.037564666702</v>
      </c>
      <c r="EB30" s="8">
        <f>+EA30*(1+$AR$34)</f>
        <v>20020.257940313368</v>
      </c>
      <c r="EC30" s="8">
        <f>+EB30*(1+$AR$34)</f>
        <v>20220.4605197165</v>
      </c>
      <c r="ED30" s="8">
        <f>+EC30*(1+$AR$34)</f>
        <v>20422.665124913667</v>
      </c>
      <c r="EE30" s="8">
        <f>+ED30*(1+$AR$34)</f>
        <v>20626.891776162804</v>
      </c>
      <c r="EF30" s="8">
        <f>+EE30*(1+$AR$34)</f>
        <v>20833.16069392443</v>
      </c>
      <c r="EG30" s="8">
        <f>+EF30*(1+$AR$34)</f>
        <v>21041.492300863676</v>
      </c>
      <c r="EH30" s="8">
        <f>+EG30*(1+$AR$34)</f>
        <v>21251.907223872313</v>
      </c>
      <c r="EI30" s="8">
        <f>+EH30*(1+$AR$34)</f>
        <v>21464.426296111036</v>
      </c>
      <c r="EJ30" s="8">
        <f>+EI30*(1+$AR$34)</f>
        <v>21679.070559072148</v>
      </c>
      <c r="EK30" s="8">
        <f>+EJ30*(1+$AR$34)</f>
        <v>21895.861264662868</v>
      </c>
      <c r="EL30" s="8">
        <f>+EK30*(1+$AR$34)</f>
        <v>22114.819877309495</v>
      </c>
    </row>
    <row r="31" spans="2:142" s="2" customFormat="1" x14ac:dyDescent="0.2">
      <c r="B31" s="2" t="s">
        <v>106</v>
      </c>
      <c r="C31" s="2">
        <f>+C30/C32</f>
        <v>4.1033210332103325</v>
      </c>
      <c r="D31" s="2">
        <f>+D30/D32</f>
        <v>3.8955223880597014</v>
      </c>
      <c r="E31" s="2">
        <f>+E30/E32</f>
        <v>4.1962264150943396</v>
      </c>
      <c r="F31" s="2">
        <f>+F30/F32</f>
        <v>2.1379310344827585</v>
      </c>
      <c r="G31" s="2">
        <f>+G30/G32</f>
        <v>3.3396946564885495</v>
      </c>
      <c r="H31" s="2">
        <f>+H30/H32</f>
        <v>3.078125</v>
      </c>
      <c r="I31" s="2">
        <f>+I30/I32</f>
        <v>3.0474308300395259</v>
      </c>
      <c r="J31" s="2">
        <f>+J30/J32</f>
        <v>6.515748031496063</v>
      </c>
      <c r="K31" s="2">
        <f>+K30/K32</f>
        <v>4.2440944881889759</v>
      </c>
      <c r="L31" s="2">
        <f>+L30/L32</f>
        <v>3.5573122529644268</v>
      </c>
      <c r="M31" s="2">
        <f>+M30/M32</f>
        <v>3.516</v>
      </c>
      <c r="N31" s="2">
        <f>+N30/N32</f>
        <v>6.5766129032258061</v>
      </c>
      <c r="O31" s="2">
        <f>+O30/O32</f>
        <v>3.214574898785425</v>
      </c>
      <c r="P31" s="2">
        <f>+P30/P32</f>
        <v>3.0368852459016393</v>
      </c>
      <c r="Q31" s="2">
        <f>+Q30/Q32</f>
        <v>3.7561983471074378</v>
      </c>
      <c r="U31" s="2">
        <f>+U30/U32</f>
        <v>7.5451612903225804</v>
      </c>
      <c r="V31" s="2">
        <f>+V30/V32</f>
        <v>12.250871080139373</v>
      </c>
      <c r="W31" s="2">
        <f>+W30/W32</f>
        <v>9.4237918215613377</v>
      </c>
      <c r="X31" s="2">
        <f>+X30/X32</f>
        <v>10.970479704797048</v>
      </c>
      <c r="Y31" s="2">
        <f>+Y30/Y32</f>
        <v>18.205882352941178</v>
      </c>
      <c r="Z31" s="2">
        <f>+Z30/Z32</f>
        <v>2.0377358490566038</v>
      </c>
      <c r="AA31" s="2">
        <f>+AA30/AA32</f>
        <v>6.5687022900763354</v>
      </c>
      <c r="AB31" s="2">
        <f>+AB30/AB32</f>
        <v>20.985074626865671</v>
      </c>
      <c r="AC31" s="2">
        <f>+AC30/AC32</f>
        <v>14.383458646616541</v>
      </c>
      <c r="AD31" s="2">
        <f>+AD30/AD32</f>
        <v>15.97265625</v>
      </c>
      <c r="AE31" s="2">
        <f>+AE30/AE32</f>
        <v>17.880478087649401</v>
      </c>
      <c r="AF31" s="2">
        <f>+AF30/AF32</f>
        <v>16.483065110639341</v>
      </c>
      <c r="AG31" s="2">
        <f>+AG30/AG32</f>
        <v>18.019979937547607</v>
      </c>
      <c r="AH31" s="2">
        <f>+AH30/AH32</f>
        <v>19.686978847135837</v>
      </c>
      <c r="AI31" s="2">
        <f>+AI30/AI32</f>
        <v>21.494824930638355</v>
      </c>
      <c r="AJ31" s="2">
        <f>+AJ30/AJ32</f>
        <v>23.455166720537854</v>
      </c>
      <c r="AK31" s="2">
        <f>+AK30/AK32</f>
        <v>25.580610925389927</v>
      </c>
      <c r="AL31" s="2">
        <f>+AL30/AL32</f>
        <v>27.884801137197126</v>
      </c>
      <c r="AM31" s="2">
        <f>+AM30/AM32</f>
        <v>30.382503001714571</v>
      </c>
      <c r="AN31" s="2">
        <f>+AN30/AN32</f>
        <v>33.089696382331141</v>
      </c>
      <c r="AO31" s="2">
        <f>+AO30/AO32</f>
        <v>36.02367509173834</v>
      </c>
    </row>
    <row r="32" spans="2:142" x14ac:dyDescent="0.2">
      <c r="B32" s="3" t="s">
        <v>2</v>
      </c>
      <c r="C32" s="3">
        <v>271</v>
      </c>
      <c r="D32" s="3">
        <v>268</v>
      </c>
      <c r="E32" s="3">
        <v>265</v>
      </c>
      <c r="F32" s="3">
        <v>261</v>
      </c>
      <c r="G32" s="3">
        <v>262</v>
      </c>
      <c r="H32" s="3">
        <v>256</v>
      </c>
      <c r="I32" s="3">
        <v>253</v>
      </c>
      <c r="J32" s="3">
        <v>254</v>
      </c>
      <c r="K32" s="3">
        <v>254</v>
      </c>
      <c r="L32" s="3">
        <v>253</v>
      </c>
      <c r="M32" s="3">
        <v>250</v>
      </c>
      <c r="N32" s="3">
        <v>248</v>
      </c>
      <c r="O32" s="3">
        <v>247</v>
      </c>
      <c r="P32" s="3">
        <v>244</v>
      </c>
      <c r="Q32" s="3">
        <v>242</v>
      </c>
      <c r="T32" s="7">
        <f>+(AE32/U32)^(0.0909090909090909)-1</f>
        <v>-1.9009662335360611E-2</v>
      </c>
      <c r="U32" s="3">
        <v>310</v>
      </c>
      <c r="V32" s="3">
        <v>287</v>
      </c>
      <c r="W32" s="3">
        <v>269</v>
      </c>
      <c r="X32" s="3">
        <v>271</v>
      </c>
      <c r="Y32" s="3">
        <v>272</v>
      </c>
      <c r="Z32" s="3">
        <v>265</v>
      </c>
      <c r="AA32" s="3">
        <v>262</v>
      </c>
      <c r="AB32" s="3">
        <v>268</v>
      </c>
      <c r="AC32" s="3">
        <v>266</v>
      </c>
      <c r="AD32" s="3">
        <v>256</v>
      </c>
      <c r="AE32" s="3">
        <v>251</v>
      </c>
      <c r="AF32" s="3">
        <f>+AE32*0.989</f>
        <v>248.239</v>
      </c>
      <c r="AG32" s="3">
        <f>+AF32*0.989</f>
        <v>245.50837100000001</v>
      </c>
      <c r="AH32" s="3">
        <f>+AG32*0.989</f>
        <v>242.80777891900001</v>
      </c>
      <c r="AI32" s="3">
        <f>+AH32*0.989</f>
        <v>240.136893350891</v>
      </c>
      <c r="AJ32" s="3">
        <f>+AI32*0.989</f>
        <v>237.4953875240312</v>
      </c>
      <c r="AK32" s="3">
        <f>+AJ32*0.989</f>
        <v>234.88293826126684</v>
      </c>
      <c r="AL32" s="3">
        <f>+AK32*0.989</f>
        <v>232.29922594039292</v>
      </c>
      <c r="AM32" s="3">
        <f>+AL32*0.989</f>
        <v>229.74393445504859</v>
      </c>
      <c r="AN32" s="3">
        <f>+AM32*0.989</f>
        <v>227.21675117604306</v>
      </c>
      <c r="AO32" s="3">
        <f>+AN32*0.989</f>
        <v>224.71736691310659</v>
      </c>
    </row>
    <row r="34" spans="2:44" s="11" customFormat="1" x14ac:dyDescent="0.2">
      <c r="B34" s="11" t="s">
        <v>105</v>
      </c>
      <c r="C34" s="11">
        <f>+C25/C15</f>
        <v>6.3536790437667592E-2</v>
      </c>
      <c r="D34" s="11">
        <f>+D25/D15</f>
        <v>6.8032717048649563E-2</v>
      </c>
      <c r="E34" s="11">
        <f>+E25/E15</f>
        <v>5.6088997927329638E-2</v>
      </c>
      <c r="F34" s="11">
        <f>+F25/F15</f>
        <v>7.8871853734524877E-2</v>
      </c>
      <c r="G34" s="11">
        <f>+G25/G15</f>
        <v>5.1243438602529903E-2</v>
      </c>
      <c r="H34" s="11">
        <f>+H25/H15</f>
        <v>5.1547295520294557E-2</v>
      </c>
      <c r="I34" s="11">
        <f>+I25/I15</f>
        <v>4.7002571157923223E-2</v>
      </c>
      <c r="J34" s="11">
        <f>+J25/J15</f>
        <v>7.3871409028727769E-2</v>
      </c>
      <c r="K34" s="11">
        <f>+K25/K15</f>
        <v>6.8493150684931503E-2</v>
      </c>
      <c r="L34" s="11">
        <f>+L25/L15</f>
        <v>5.7568238213399507E-2</v>
      </c>
      <c r="M34" s="11">
        <f>+M25/M15</f>
        <v>5.7180973410617349E-2</v>
      </c>
      <c r="N34" s="11">
        <f>+N25/N15</f>
        <v>7.7434528924872223E-2</v>
      </c>
      <c r="O34" s="11">
        <f>+O25/O15</f>
        <v>5.0048658417906296E-2</v>
      </c>
      <c r="P34" s="11">
        <f>+P25/P15</f>
        <v>4.7890016843446986E-2</v>
      </c>
      <c r="Q34" s="11">
        <f>+Q25/Q15</f>
        <v>5.8303249097472927E-2</v>
      </c>
      <c r="U34" s="11">
        <f>+U25/U15</f>
        <v>8.4052055215397103E-2</v>
      </c>
      <c r="V34" s="11">
        <f>+V25/V15</f>
        <v>9.1311402861779023E-2</v>
      </c>
      <c r="W34" s="11">
        <f>+W25/W15</f>
        <v>9.0836890697905293E-2</v>
      </c>
      <c r="X34" s="11">
        <f>+X25/X15</f>
        <v>8.3108141713224684E-2</v>
      </c>
      <c r="Y34" s="11">
        <f>+Y25/Y15</f>
        <v>7.1077158135981672E-2</v>
      </c>
      <c r="Z34" s="11">
        <f>+Z25/Z15</f>
        <v>6.4081041137560441E-2</v>
      </c>
      <c r="AA34" s="11">
        <f>+AA25/AA15</f>
        <v>4.120375052371527E-2</v>
      </c>
      <c r="AB34" s="11">
        <f>+AB25/AB15</f>
        <v>6.9760240117200056E-2</v>
      </c>
      <c r="AC34" s="11">
        <f>+AC25/AC15</f>
        <v>6.6782872786380357E-2</v>
      </c>
      <c r="AD34" s="11">
        <f>+AD25/AD15</f>
        <v>5.5781709278464868E-2</v>
      </c>
      <c r="AE34" s="11">
        <f>+AE25/AE15</f>
        <v>6.5181941546075511E-2</v>
      </c>
      <c r="AF34" s="11">
        <f>+AF25/AF15</f>
        <v>6.5853047085099592E-2</v>
      </c>
      <c r="AG34" s="11">
        <f>+AG25/AG15</f>
        <v>6.5853047085099523E-2</v>
      </c>
      <c r="AH34" s="11">
        <f>+AH25/AH15</f>
        <v>6.5853047085099661E-2</v>
      </c>
      <c r="AI34" s="11">
        <f>+AI25/AI15</f>
        <v>6.5853047085099647E-2</v>
      </c>
      <c r="AJ34" s="11">
        <f>+AJ25/AJ15</f>
        <v>6.5853047085099592E-2</v>
      </c>
      <c r="AK34" s="11">
        <f>+AK25/AK15</f>
        <v>6.5853047085099606E-2</v>
      </c>
      <c r="AL34" s="11">
        <f>+AL25/AL15</f>
        <v>6.5853047085099703E-2</v>
      </c>
      <c r="AM34" s="11">
        <f>+AM25/AM15</f>
        <v>6.5853047085099786E-2</v>
      </c>
      <c r="AN34" s="11">
        <f>+AN25/AN15</f>
        <v>6.5853047085099717E-2</v>
      </c>
      <c r="AO34" s="11">
        <f>+AO25/AO15</f>
        <v>6.5853047085099703E-2</v>
      </c>
      <c r="AQ34" s="11" t="s">
        <v>104</v>
      </c>
      <c r="AR34" s="11">
        <v>0.01</v>
      </c>
    </row>
    <row r="35" spans="2:44" s="11" customFormat="1" x14ac:dyDescent="0.2">
      <c r="B35" s="11" t="s">
        <v>103</v>
      </c>
      <c r="C35" s="11">
        <f>+C30/C15</f>
        <v>5.0538562923237738E-2</v>
      </c>
      <c r="D35" s="11">
        <f>+D30/D15</f>
        <v>4.4474738008008864E-2</v>
      </c>
      <c r="E35" s="11">
        <f>+E30/E15</f>
        <v>4.7036927371938583E-2</v>
      </c>
      <c r="F35" s="11">
        <f>+F30/F15</f>
        <v>2.2874477330491104E-2</v>
      </c>
      <c r="G35" s="11">
        <f>+G30/G15</f>
        <v>3.7647362533344809E-2</v>
      </c>
      <c r="H35" s="11">
        <f>+H30/H15</f>
        <v>3.4540194617340231E-2</v>
      </c>
      <c r="I35" s="11">
        <f>+I30/I15</f>
        <v>3.4778294014163921E-2</v>
      </c>
      <c r="J35" s="11">
        <f>+J30/J15</f>
        <v>7.5467396260829919E-2</v>
      </c>
      <c r="K35" s="11">
        <f>+K30/K15</f>
        <v>4.9720953830542869E-2</v>
      </c>
      <c r="L35" s="11">
        <f>+L30/L15</f>
        <v>4.0604556733588995E-2</v>
      </c>
      <c r="M35" s="11">
        <f>+M30/M15</f>
        <v>4.0436102677339221E-2</v>
      </c>
      <c r="N35" s="11">
        <f>+N30/N15</f>
        <v>7.377086254466507E-2</v>
      </c>
      <c r="O35" s="11">
        <f>+O30/O15</f>
        <v>3.6795032207238516E-2</v>
      </c>
      <c r="P35" s="11">
        <f>+P30/P15</f>
        <v>3.3732416807028723E-2</v>
      </c>
      <c r="Q35" s="11">
        <f>+Q30/Q15</f>
        <v>4.101985559566787E-2</v>
      </c>
      <c r="U35" s="11">
        <f>+U30/U15</f>
        <v>5.1331007088463144E-2</v>
      </c>
      <c r="V35" s="11">
        <f>+V30/V15</f>
        <v>7.4094367057931002E-2</v>
      </c>
      <c r="W35" s="11">
        <f>+W30/W15</f>
        <v>5.033257222277375E-2</v>
      </c>
      <c r="X35" s="11">
        <f>+X30/X15</f>
        <v>4.9287952386478553E-2</v>
      </c>
      <c r="Y35" s="11">
        <f>+Y30/Y15</f>
        <v>7.5660809778456836E-2</v>
      </c>
      <c r="Z35" s="11">
        <f>+Z30/Z15</f>
        <v>7.7482674013172057E-3</v>
      </c>
      <c r="AA35" s="11">
        <f>+AA30/AA15</f>
        <v>2.4863834029212478E-2</v>
      </c>
      <c r="AB35" s="11">
        <f>+AB30/AB15</f>
        <v>6.6985076049023928E-2</v>
      </c>
      <c r="AC35" s="11">
        <f>+AC30/AC15</f>
        <v>4.0914535032936947E-2</v>
      </c>
      <c r="AD35" s="11">
        <f>+AD30/AD15</f>
        <v>4.5355221562863958E-2</v>
      </c>
      <c r="AE35" s="11">
        <f>+AE30/AE15</f>
        <v>5.1178543327289522E-2</v>
      </c>
      <c r="AF35" s="11">
        <f>+AF30/AF15</f>
        <v>4.6626322986462465E-2</v>
      </c>
      <c r="AG35" s="11">
        <f>+AG30/AG15</f>
        <v>4.9914004581560249E-2</v>
      </c>
      <c r="AH35" s="11">
        <f>+AH30/AH15</f>
        <v>5.3397645020247186E-2</v>
      </c>
      <c r="AI35" s="11">
        <f>+AI30/AI15</f>
        <v>5.7088924225675561E-2</v>
      </c>
      <c r="AJ35" s="11">
        <f>+AJ30/AJ15</f>
        <v>6.1000218290674958E-2</v>
      </c>
      <c r="AK35" s="11">
        <f>+AK30/AK15</f>
        <v>6.5144640972221904E-2</v>
      </c>
      <c r="AL35" s="11">
        <f>+AL30/AL15</f>
        <v>6.9536087659144305E-2</v>
      </c>
      <c r="AM35" s="11">
        <f>+AM30/AM15</f>
        <v>7.418928196047532E-2</v>
      </c>
      <c r="AN35" s="11">
        <f>+AN30/AN15</f>
        <v>7.9119825070657818E-2</v>
      </c>
      <c r="AO35" s="11">
        <f>+AO30/AO15</f>
        <v>8.4344248077110662E-2</v>
      </c>
      <c r="AQ35" s="11" t="s">
        <v>10</v>
      </c>
      <c r="AR35" s="11">
        <v>0.08</v>
      </c>
    </row>
    <row r="36" spans="2:44" s="11" customFormat="1" x14ac:dyDescent="0.2">
      <c r="B36" s="11" t="s">
        <v>102</v>
      </c>
      <c r="C36" s="11">
        <f>+C29/C28</f>
        <v>0.2367879203843514</v>
      </c>
      <c r="D36" s="11">
        <f>+D29/D28</f>
        <v>0.24347826086956523</v>
      </c>
      <c r="E36" s="11">
        <f>+E29/E28</f>
        <v>0.19127272727272726</v>
      </c>
      <c r="F36" s="11">
        <f>+F29/F28</f>
        <v>0.18421052631578946</v>
      </c>
      <c r="G36" s="11">
        <f>+G29/G28</f>
        <v>0.24176776429809357</v>
      </c>
      <c r="H36" s="11">
        <f>+H29/H28</f>
        <v>0.25590179414542019</v>
      </c>
      <c r="I36" s="11">
        <f>+I29/I28</f>
        <v>0.2455968688845401</v>
      </c>
      <c r="J36" s="11">
        <f>+J29/J28</f>
        <v>0.26280623608017817</v>
      </c>
      <c r="K36" s="11">
        <f>+K29/K28</f>
        <v>0.24244553759662685</v>
      </c>
      <c r="L36" s="11">
        <f>+L29/L28</f>
        <v>0.25124792013311148</v>
      </c>
      <c r="M36" s="11">
        <f>+M29/M28</f>
        <v>0.25697379543533388</v>
      </c>
      <c r="N36" s="11">
        <f>+N29/N28</f>
        <v>0.25354691075514874</v>
      </c>
      <c r="O36" s="11">
        <f>+O29/O28</f>
        <v>0.24810606060606061</v>
      </c>
      <c r="P36" s="11">
        <f>+P29/P28</f>
        <v>0.24464831804281345</v>
      </c>
      <c r="Q36" s="11">
        <f>+Q29/Q28</f>
        <v>0.23031329381879762</v>
      </c>
      <c r="U36" s="11">
        <f>+U29/U28</f>
        <v>0.36319085216444325</v>
      </c>
      <c r="V36" s="11">
        <f>+V29/V28</f>
        <v>0.14097239188859029</v>
      </c>
      <c r="W36" s="11">
        <f>+W29/W28</f>
        <v>0.38426038377459315</v>
      </c>
      <c r="X36" s="11">
        <f>+X29/X28</f>
        <v>0.34731064763995612</v>
      </c>
      <c r="Y36" s="11">
        <f>+Y29/Y28</f>
        <v>-4.6270864145362349E-2</v>
      </c>
      <c r="Z36" s="11">
        <f>+Z29/Z28</f>
        <v>0.17557251908396945</v>
      </c>
      <c r="AA36" s="11">
        <f>+AA29/AA28</f>
        <v>0.18203422053231938</v>
      </c>
      <c r="AB36" s="11">
        <f>+AB29/AB28</f>
        <v>0.20418848167539266</v>
      </c>
      <c r="AC36" s="11">
        <f>+AC29/AC28</f>
        <v>0.21854575163398693</v>
      </c>
      <c r="AD36" s="11">
        <f>+AD29/AD28</f>
        <v>0.25383211678832118</v>
      </c>
      <c r="AE36" s="11">
        <f>+AE29/AE28</f>
        <v>0.25112631403303853</v>
      </c>
      <c r="AF36" s="11">
        <f>+AF29/AF28</f>
        <v>0.22000000000000003</v>
      </c>
      <c r="AG36" s="11">
        <f>+AG29/AG28</f>
        <v>0.22</v>
      </c>
      <c r="AH36" s="11">
        <f>+AH29/AH28</f>
        <v>0.22</v>
      </c>
      <c r="AI36" s="11">
        <f>+AI29/AI28</f>
        <v>0.22</v>
      </c>
      <c r="AJ36" s="11">
        <f>+AJ29/AJ28</f>
        <v>0.22</v>
      </c>
      <c r="AK36" s="11">
        <f>+AK29/AK28</f>
        <v>0.22</v>
      </c>
      <c r="AL36" s="11">
        <f>+AL29/AL28</f>
        <v>0.22</v>
      </c>
      <c r="AM36" s="11">
        <f>+AM29/AM28</f>
        <v>0.22</v>
      </c>
      <c r="AN36" s="11">
        <f>+AN29/AN28</f>
        <v>0.22</v>
      </c>
      <c r="AO36" s="11">
        <f>+AO29/AO28</f>
        <v>0.22</v>
      </c>
      <c r="AQ36" s="11" t="s">
        <v>11</v>
      </c>
      <c r="AR36" s="11">
        <v>0.09</v>
      </c>
    </row>
    <row r="37" spans="2:44" s="11" customFormat="1" x14ac:dyDescent="0.2">
      <c r="AQ37" s="11" t="s">
        <v>101</v>
      </c>
      <c r="AR37" s="3">
        <f>+NPV(AR35,AF30:EL30)+[1]Main!G7-[1]Main!G8</f>
        <v>78146.728194345254</v>
      </c>
    </row>
    <row r="38" spans="2:44" s="18" customFormat="1" x14ac:dyDescent="0.2">
      <c r="B38" s="18" t="s">
        <v>100</v>
      </c>
      <c r="G38" s="18">
        <f>+G15/C15-1</f>
        <v>5.6310503113211841E-2</v>
      </c>
      <c r="H38" s="18">
        <f>+H15/D15-1</f>
        <v>-2.8116213683224034E-2</v>
      </c>
      <c r="I38" s="18">
        <f>+I15/E15-1</f>
        <v>-6.2264709614652469E-2</v>
      </c>
      <c r="J38" s="18">
        <f>+J15/F15-1</f>
        <v>-0.10100844469951631</v>
      </c>
      <c r="K38" s="18">
        <f>+K15/G15-1</f>
        <v>-6.7162894759487113E-2</v>
      </c>
      <c r="L38" s="18">
        <f>+L15/H15-1</f>
        <v>-2.8447444551591095E-2</v>
      </c>
      <c r="M38" s="18">
        <f>+M15/I15-1</f>
        <v>-1.9441562542288793E-2</v>
      </c>
      <c r="N38" s="18">
        <f>+N15/J15-1</f>
        <v>8.1623347013224379E-3</v>
      </c>
      <c r="O38" s="18">
        <f>+O15/K15-1</f>
        <v>-4.7045800470457699E-3</v>
      </c>
      <c r="P38" s="18">
        <f>+P15/L15-1</f>
        <v>-8.9330024813896181E-3</v>
      </c>
      <c r="Q38" s="18">
        <f>+Q15/M15-1</f>
        <v>1.9413009476492826E-2</v>
      </c>
      <c r="V38" s="18">
        <f>+V15/U15-1</f>
        <v>4.1389602124344282E-2</v>
      </c>
      <c r="W38" s="18">
        <f>+W15/V15-1</f>
        <v>6.1365983183360395E-2</v>
      </c>
      <c r="X38" s="18">
        <f>+X15/W15-1</f>
        <v>0.19763724808895056</v>
      </c>
      <c r="Y38" s="18">
        <f>+Y15/X15-1</f>
        <v>8.5064407566438405E-2</v>
      </c>
      <c r="Z38" s="18">
        <f>+Z15/Y15-1</f>
        <v>6.4828113063407189E-2</v>
      </c>
      <c r="AA38" s="18">
        <f>+AA15/Z15-1</f>
        <v>-6.8299542278277281E-3</v>
      </c>
      <c r="AB38" s="18">
        <f>+AB15/AA15-1</f>
        <v>0.21298235982489855</v>
      </c>
      <c r="AC38" s="18">
        <f>+AC15/AB15-1</f>
        <v>0.11378172679522147</v>
      </c>
      <c r="AD38" s="18">
        <f>+AD15/AC15-1</f>
        <v>-3.5899135939772453E-2</v>
      </c>
      <c r="AE38" s="18">
        <f>+AE15/AD15-1</f>
        <v>-2.7308524208307872E-2</v>
      </c>
      <c r="AF38" s="18">
        <f>+AF15/AE15-1</f>
        <v>7.1841538093120327E-4</v>
      </c>
      <c r="AG38" s="18">
        <f>+AG15/AF15-1</f>
        <v>1.0000000000000009E-2</v>
      </c>
      <c r="AH38" s="18">
        <f>+AH15/AG15-1</f>
        <v>1.0000000000000009E-2</v>
      </c>
      <c r="AI38" s="18">
        <f>+AI15/AH15-1</f>
        <v>1.0000000000000009E-2</v>
      </c>
      <c r="AJ38" s="18">
        <f>+AJ15/AI15-1</f>
        <v>1.0000000000000009E-2</v>
      </c>
      <c r="AK38" s="18">
        <f>+AK15/AJ15-1</f>
        <v>1.0000000000000009E-2</v>
      </c>
      <c r="AL38" s="18">
        <f>+AL15/AK15-1</f>
        <v>1.0000000000000009E-2</v>
      </c>
      <c r="AM38" s="18">
        <f>+AM15/AL15-1</f>
        <v>1.0000000000000009E-2</v>
      </c>
      <c r="AN38" s="18">
        <f>+AN15/AM15-1</f>
        <v>1.0000000000000009E-2</v>
      </c>
      <c r="AO38" s="18">
        <f>+AO15/AN15-1</f>
        <v>1.0000000000000009E-2</v>
      </c>
      <c r="AQ38" s="11" t="s">
        <v>99</v>
      </c>
      <c r="AR38" s="2">
        <f>+AR37/[1]Main!G5</f>
        <v>326.15643059034528</v>
      </c>
    </row>
    <row r="39" spans="2:44" s="7" customFormat="1" x14ac:dyDescent="0.2">
      <c r="B39" s="14" t="s">
        <v>98</v>
      </c>
      <c r="C39" s="13"/>
      <c r="D39" s="13"/>
      <c r="E39" s="13"/>
      <c r="F39" s="13"/>
      <c r="G39" s="13" t="e">
        <f>+G4/C4-1</f>
        <v>#DIV/0!</v>
      </c>
      <c r="H39" s="13" t="e">
        <f>+H4/D4-1</f>
        <v>#DIV/0!</v>
      </c>
      <c r="I39" s="13" t="e">
        <f>+I4/E4-1</f>
        <v>#DIV/0!</v>
      </c>
      <c r="J39" s="13">
        <f>+J4/F4-1</f>
        <v>-0.12831895468632215</v>
      </c>
      <c r="K39" s="13">
        <f>+K4/G4-1</f>
        <v>-9.3646086096881409E-2</v>
      </c>
      <c r="L39" s="13">
        <f>+L4/H4-1</f>
        <v>-5.614874815905746E-2</v>
      </c>
      <c r="M39" s="13">
        <f>+M4/I4-1</f>
        <v>-2.3586273562107296E-2</v>
      </c>
      <c r="N39" s="13">
        <f>+N4/J4-1</f>
        <v>9.608917075045742E-4</v>
      </c>
      <c r="O39" s="13"/>
      <c r="P39" s="13"/>
      <c r="Q39" s="13"/>
      <c r="R39" s="13"/>
      <c r="S39" s="13"/>
      <c r="V39" s="7">
        <f>+V4/U4-1</f>
        <v>4.3508720179934457E-3</v>
      </c>
      <c r="W39" s="7">
        <f>+W4/V4-1</f>
        <v>-2.8929108998127728E-2</v>
      </c>
      <c r="X39" s="7">
        <f>+X4/W4-1</f>
        <v>0.31409020452912939</v>
      </c>
      <c r="Y39" s="7">
        <f>+Y4/X4-1</f>
        <v>4.0651342098449339E-2</v>
      </c>
      <c r="Z39" s="7">
        <f>+Z4/Y4-1</f>
        <v>3.2041357956430483E-2</v>
      </c>
      <c r="AA39" s="7">
        <f>+AA4/Z4-1</f>
        <v>-4.8699472288446621E-2</v>
      </c>
      <c r="AB39" s="7">
        <f>+AB4/AA4-1</f>
        <v>0.18486188156449757</v>
      </c>
      <c r="AC39" s="7">
        <f>+AC4/AB4-1</f>
        <v>8.8787489899710081E-2</v>
      </c>
      <c r="AD39" s="7">
        <f>+AD4/AC4-1</f>
        <v>-6.7031911642729258E-2</v>
      </c>
      <c r="AE39" s="7">
        <f>+AE4/AD4-1</f>
        <v>-4.4124184076924866E-2</v>
      </c>
      <c r="AQ39" s="7" t="s">
        <v>97</v>
      </c>
      <c r="AR39" s="2">
        <f>+[1]Main!G4</f>
        <v>241.05</v>
      </c>
    </row>
    <row r="40" spans="2:44" s="7" customFormat="1" x14ac:dyDescent="0.2">
      <c r="B40" s="14" t="s">
        <v>96</v>
      </c>
      <c r="C40" s="13"/>
      <c r="D40" s="13"/>
      <c r="E40" s="13"/>
      <c r="F40" s="13"/>
      <c r="G40" s="13" t="e">
        <f>+G5/C5-1</f>
        <v>#DIV/0!</v>
      </c>
      <c r="H40" s="13" t="e">
        <f>+H5/D5-1</f>
        <v>#DIV/0!</v>
      </c>
      <c r="I40" s="13" t="e">
        <f>+I5/E5-1</f>
        <v>#DIV/0!</v>
      </c>
      <c r="J40" s="13">
        <f>+J5/F5-1</f>
        <v>-2.2965492874808646E-2</v>
      </c>
      <c r="K40" s="13">
        <f>+K5/G5-1</f>
        <v>3.1862745098039325E-2</v>
      </c>
      <c r="L40" s="13">
        <f>+L5/H5-1</f>
        <v>2.9310139401882429E-2</v>
      </c>
      <c r="M40" s="13">
        <f>+M5/I5-1</f>
        <v>5.1975051975052811E-3</v>
      </c>
      <c r="N40" s="13">
        <f>+N5/J5-1</f>
        <v>2.3866923818707919E-2</v>
      </c>
      <c r="O40" s="13"/>
      <c r="P40" s="13"/>
      <c r="Q40" s="13"/>
      <c r="R40" s="13"/>
      <c r="S40" s="13"/>
      <c r="V40" s="7">
        <f>+V5/U5-1</f>
        <v>0.11767237668933461</v>
      </c>
      <c r="W40" s="7">
        <f>+W5/V5-1</f>
        <v>0.27649414664202099</v>
      </c>
      <c r="X40" s="7">
        <f>+X5/W5-1</f>
        <v>9.0563533244841343E-2</v>
      </c>
      <c r="Y40" s="7">
        <f>+Y5/X5-1</f>
        <v>1.7704011065006853E-2</v>
      </c>
      <c r="Z40" s="7">
        <f>+Z5/Y5-1</f>
        <v>0.11562924707801026</v>
      </c>
      <c r="AA40" s="7">
        <f>+AA5/Z5-1</f>
        <v>0.1077380372283403</v>
      </c>
      <c r="AB40" s="7">
        <f>+AB5/AA5-1</f>
        <v>0.3414859455417234</v>
      </c>
      <c r="AC40" s="7">
        <f>+AC5/AB5-1</f>
        <v>8.9716684155298987E-2</v>
      </c>
      <c r="AD40" s="7">
        <f>+AD5/AC5-1</f>
        <v>8.2751564756859963E-3</v>
      </c>
      <c r="AE40" s="7">
        <f>+AE5/AD5-1</f>
        <v>2.2353538066672618E-2</v>
      </c>
      <c r="AQ40" s="15" t="s">
        <v>95</v>
      </c>
      <c r="AR40" s="17">
        <f>+AR38/AR39-1</f>
        <v>0.35306546604582145</v>
      </c>
    </row>
    <row r="41" spans="2:44" s="7" customFormat="1" x14ac:dyDescent="0.2">
      <c r="B41" s="14" t="s">
        <v>94</v>
      </c>
      <c r="C41" s="13"/>
      <c r="D41" s="13"/>
      <c r="E41" s="13"/>
      <c r="F41" s="13"/>
      <c r="G41" s="13" t="e">
        <f>+G6/C6-1</f>
        <v>#DIV/0!</v>
      </c>
      <c r="H41" s="13" t="e">
        <f>+H6/D6-1</f>
        <v>#DIV/0!</v>
      </c>
      <c r="I41" s="13" t="e">
        <f>+I6/E6-1</f>
        <v>#DIV/0!</v>
      </c>
      <c r="J41" s="13">
        <f>+J6/F6-1</f>
        <v>-0.17670537010159648</v>
      </c>
      <c r="K41" s="13">
        <f>+K6/G6-1</f>
        <v>-0.15864854939405071</v>
      </c>
      <c r="L41" s="13">
        <f>+L6/H6-1</f>
        <v>-3.830480847595763E-2</v>
      </c>
      <c r="M41" s="13">
        <f>+M6/I6-1</f>
        <v>-2.7904849039341317E-2</v>
      </c>
      <c r="N41" s="13">
        <f>+N6/J6-1</f>
        <v>1.6306743058616124E-2</v>
      </c>
      <c r="O41" s="13">
        <f>+O6/K6-1</f>
        <v>1.6586643387167088E-2</v>
      </c>
      <c r="P41" s="13">
        <f>+P6/L6-1</f>
        <v>-7.7542372881355903E-2</v>
      </c>
      <c r="Q41" s="13">
        <f>+Q6/M6-1</f>
        <v>-1.6941176470588237E-2</v>
      </c>
      <c r="R41" s="13"/>
      <c r="S41" s="13"/>
      <c r="V41" s="7">
        <f>+V6/U6-1</f>
        <v>7.5386486017022802E-2</v>
      </c>
      <c r="W41" s="7">
        <f>+W6/V6-1</f>
        <v>1.4537231465030498E-3</v>
      </c>
      <c r="X41" s="7">
        <f>+X6/W6-1</f>
        <v>3.9193548387096877E-2</v>
      </c>
      <c r="Y41" s="7">
        <f>+Y6/X6-1</f>
        <v>5.7271457395623226E-2</v>
      </c>
      <c r="Z41" s="7">
        <f>+Z6/Y6-1</f>
        <v>0.11303581914268945</v>
      </c>
      <c r="AA41" s="7">
        <f>+AA6/Z6-1</f>
        <v>-6.3307834344500158E-2</v>
      </c>
      <c r="AB41" s="7">
        <f>+AB6/AA6-1</f>
        <v>0.10292875246409472</v>
      </c>
      <c r="AC41" s="7">
        <f>+AC6/AB6-1</f>
        <v>0.21690284692965656</v>
      </c>
      <c r="AD41" s="7">
        <f>+AD6/AC6-1</f>
        <v>1.0490977759127107E-2</v>
      </c>
      <c r="AE41" s="7">
        <f>+AE6/AD6-1</f>
        <v>-5.7101328903654491E-2</v>
      </c>
    </row>
    <row r="42" spans="2:44" s="7" customFormat="1" x14ac:dyDescent="0.2">
      <c r="B42" s="14" t="s">
        <v>93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V42" s="7">
        <f>+V24/U24-1</f>
        <v>3.3136066320051727E-2</v>
      </c>
      <c r="W42" s="7">
        <f>+W24/V24-1</f>
        <v>6.192022263450836E-2</v>
      </c>
      <c r="X42" s="7">
        <f>+X24/W24-1</f>
        <v>0.20781830093906972</v>
      </c>
      <c r="Y42" s="7">
        <f>+Y24/X24-1</f>
        <v>9.9302064875420371E-2</v>
      </c>
      <c r="Z42" s="7">
        <f>+Z24/Y24-1</f>
        <v>7.2847791045758115E-2</v>
      </c>
      <c r="AA42" s="7">
        <f>+AA24/Z24-1</f>
        <v>1.7446762843607688E-2</v>
      </c>
      <c r="AB42" s="7">
        <f>+AB24/AA24-1</f>
        <v>0.17685527009718971</v>
      </c>
      <c r="AC42" s="7">
        <f>+AC24/AB24-1</f>
        <v>0.11734654682338475</v>
      </c>
      <c r="AD42" s="7">
        <f>+AD24/AC24-1</f>
        <v>-2.4533901703965966E-2</v>
      </c>
      <c r="AE42" s="7">
        <f>+AE24/AD24-1</f>
        <v>-3.6992223292531046E-2</v>
      </c>
    </row>
    <row r="43" spans="2:44" s="7" customFormat="1" x14ac:dyDescent="0.2">
      <c r="B43" s="14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44" s="7" customFormat="1" x14ac:dyDescent="0.2">
      <c r="B44" s="14" t="s">
        <v>92</v>
      </c>
      <c r="C44" s="7" t="e">
        <f>+C10/C4</f>
        <v>#DIV/0!</v>
      </c>
      <c r="D44" s="7" t="e">
        <f>+D10/D4</f>
        <v>#DIV/0!</v>
      </c>
      <c r="E44" s="7" t="e">
        <f>+E10/E4</f>
        <v>#DIV/0!</v>
      </c>
      <c r="F44" s="7">
        <f>+F10/F4</f>
        <v>7.4210570399530953E-2</v>
      </c>
      <c r="G44" s="7">
        <f>+G10/G4</f>
        <v>1.5637638177406311E-2</v>
      </c>
      <c r="H44" s="7">
        <f>+H10/H4</f>
        <v>3.1388070692194403E-2</v>
      </c>
      <c r="I44" s="7">
        <f>+I10/I4</f>
        <v>1.1503141614306428E-2</v>
      </c>
      <c r="J44" s="7">
        <f>+J10/J4</f>
        <v>4.131834342269626E-2</v>
      </c>
      <c r="K44" s="7">
        <f>+K10/K4</f>
        <v>2.0327218641546851E-2</v>
      </c>
      <c r="L44" s="7">
        <f>+L10/L4</f>
        <v>1.336063975034133E-2</v>
      </c>
      <c r="M44" s="7">
        <f>+M10/M4</f>
        <v>2.3067023067023067E-2</v>
      </c>
      <c r="N44" s="7">
        <f>+N10/N4</f>
        <v>1.929538254775847E-2</v>
      </c>
      <c r="O44" s="7">
        <f>+O10/O4</f>
        <v>5.2062278066102155E-2</v>
      </c>
      <c r="P44" s="7">
        <f>+P10/P4</f>
        <v>5.5835677511809352E-2</v>
      </c>
      <c r="Q44" s="7">
        <f>+Q10/Q4</f>
        <v>6.7462593191178769E-2</v>
      </c>
      <c r="U44" s="7">
        <f>+U10/U4</f>
        <v>5.2652925777073117E-2</v>
      </c>
      <c r="V44" s="7">
        <f>+V10/V4</f>
        <v>5.8151914534307424E-2</v>
      </c>
      <c r="W44" s="7">
        <f>+W10/W4</f>
        <v>9.5232694416090127E-2</v>
      </c>
      <c r="X44" s="7">
        <f>+X10/X4</f>
        <v>7.9461434448632004E-2</v>
      </c>
      <c r="Y44" s="7">
        <f>+Y10/Y4</f>
        <v>5.8194183346234656E-2</v>
      </c>
      <c r="Z44" s="7">
        <f>+Z10/Z4</f>
        <v>0.56877661996731943</v>
      </c>
      <c r="AA44" s="7">
        <f>+AA10/AA4</f>
        <v>2.8046067637203277E-2</v>
      </c>
      <c r="AB44" s="7">
        <f>+AB10/AB4</f>
        <v>6.6780740529492844E-2</v>
      </c>
      <c r="AC44" s="7">
        <f>+AC10/AC4</f>
        <v>6.3779630680577987E-2</v>
      </c>
      <c r="AD44" s="7">
        <f>+AD10/AD4</f>
        <v>2.4892964929930046E-2</v>
      </c>
      <c r="AE44" s="7">
        <f>+AE10/AE4</f>
        <v>1.8993073402354555E-2</v>
      </c>
    </row>
    <row r="45" spans="2:44" s="7" customFormat="1" x14ac:dyDescent="0.2">
      <c r="B45" s="14" t="s">
        <v>91</v>
      </c>
      <c r="C45" s="7" t="e">
        <f>+C11/C5</f>
        <v>#DIV/0!</v>
      </c>
      <c r="D45" s="7" t="e">
        <f>+D11/D5</f>
        <v>#DIV/0!</v>
      </c>
      <c r="E45" s="7" t="e">
        <f>+E11/E5</f>
        <v>#DIV/0!</v>
      </c>
      <c r="F45" s="7">
        <f>+F11/F5</f>
        <v>9.9988222824166764E-2</v>
      </c>
      <c r="G45" s="7">
        <f>+G11/G5</f>
        <v>8.504901960784314E-2</v>
      </c>
      <c r="H45" s="7">
        <f>+H11/H5</f>
        <v>7.1249851066364833E-2</v>
      </c>
      <c r="I45" s="7">
        <f>+I11/I5</f>
        <v>9.7482097482097477E-2</v>
      </c>
      <c r="J45" s="7">
        <f>+J11/J5</f>
        <v>0.1210221793635487</v>
      </c>
      <c r="K45" s="7">
        <f>+K11/K5</f>
        <v>0.13099762470308787</v>
      </c>
      <c r="L45" s="7">
        <f>+L11/L5</f>
        <v>0.10417872438939692</v>
      </c>
      <c r="M45" s="7">
        <f>+M11/M5</f>
        <v>0.1082385384350224</v>
      </c>
      <c r="N45" s="7">
        <f>+N11/N5</f>
        <v>0.12997409936425713</v>
      </c>
      <c r="U45" s="7">
        <f>+U11/U5</f>
        <v>0.17396918309374193</v>
      </c>
      <c r="V45" s="7">
        <f>+V11/V5</f>
        <v>0.16728280961182995</v>
      </c>
      <c r="W45" s="7">
        <f>+W11/W5</f>
        <v>0.13732351876432966</v>
      </c>
      <c r="X45" s="7">
        <f>+X11/X5</f>
        <v>0.12680497925311204</v>
      </c>
      <c r="Y45" s="7">
        <f>+Y11/Y5</f>
        <v>0.13748301168795868</v>
      </c>
      <c r="Z45" s="7">
        <f>+Z11/Z5</f>
        <v>0.12864243251145113</v>
      </c>
      <c r="AA45" s="7">
        <f>+AA11/AA5</f>
        <v>8.8593674394052704E-2</v>
      </c>
      <c r="AB45" s="7">
        <f>+AB11/AB5</f>
        <v>0.10470225603357818</v>
      </c>
      <c r="AC45" s="7">
        <f>+AC11/AC5</f>
        <v>7.9501685122773225E-2</v>
      </c>
      <c r="AD45" s="7">
        <f>+AD11/AD5</f>
        <v>9.3711761721431336E-2</v>
      </c>
      <c r="AE45" s="7">
        <f>+AE11/AE5</f>
        <v>0.11819827183559084</v>
      </c>
    </row>
    <row r="46" spans="2:44" s="7" customFormat="1" x14ac:dyDescent="0.2">
      <c r="B46" s="14" t="s">
        <v>90</v>
      </c>
      <c r="C46" s="7" t="e">
        <f>+C12/C6</f>
        <v>#DIV/0!</v>
      </c>
      <c r="D46" s="7" t="e">
        <f>+D12/D6</f>
        <v>#DIV/0!</v>
      </c>
      <c r="E46" s="7" t="e">
        <f>+E12/E6</f>
        <v>#DIV/0!</v>
      </c>
      <c r="F46" s="7">
        <f>+F12/F6</f>
        <v>0.21843251088534107</v>
      </c>
      <c r="G46" s="7">
        <f>+G12/G6</f>
        <v>0.23907455012853471</v>
      </c>
      <c r="H46" s="7">
        <f>+H12/H6</f>
        <v>0.17929910350448247</v>
      </c>
      <c r="I46" s="7">
        <f>+I12/I6</f>
        <v>0.17657822506861848</v>
      </c>
      <c r="J46" s="7">
        <f>+J12/J6</f>
        <v>0.19744380784486559</v>
      </c>
      <c r="K46" s="7">
        <f>+K12/K6</f>
        <v>0.20995198603230031</v>
      </c>
      <c r="L46" s="7">
        <f>+L12/L6</f>
        <v>0.20635593220338982</v>
      </c>
      <c r="M46" s="7">
        <f>+M12/M6</f>
        <v>0.16</v>
      </c>
      <c r="N46" s="7">
        <f>+N12/N6</f>
        <v>0.21942758022549869</v>
      </c>
      <c r="O46" s="7">
        <f>+O12/O6</f>
        <v>0.18849291541434091</v>
      </c>
      <c r="P46" s="7">
        <f>+P12/P6</f>
        <v>0.14331649058337162</v>
      </c>
      <c r="Q46" s="7">
        <f>+Q12/Q6</f>
        <v>0.12494016275730015</v>
      </c>
      <c r="U46" s="7">
        <f>+U12/U6</f>
        <v>6.0969254820218866E-2</v>
      </c>
      <c r="V46" s="7">
        <f>+V12/V6</f>
        <v>7.8178000323049585E-2</v>
      </c>
      <c r="W46" s="7">
        <f>+W12/W6</f>
        <v>6.8709677419354839E-2</v>
      </c>
      <c r="X46" s="7">
        <f>+X12/X6</f>
        <v>6.1617259040819494E-2</v>
      </c>
      <c r="Y46" s="7">
        <f>+Y12/Y6</f>
        <v>7.1931884908984139E-2</v>
      </c>
      <c r="Z46" s="7">
        <f>+Z12/Z6</f>
        <v>8.11131627538908E-2</v>
      </c>
      <c r="AA46" s="7">
        <f>+AA12/AA6</f>
        <v>8.1667136018023098E-2</v>
      </c>
      <c r="AB46" s="7">
        <f>+AB12/AB6</f>
        <v>0.12830333205668326</v>
      </c>
      <c r="AC46" s="7">
        <f>+AC12/AC6</f>
        <v>0.1744649601342845</v>
      </c>
      <c r="AD46" s="7">
        <f>+AD12/AD6</f>
        <v>0.19985465116279069</v>
      </c>
      <c r="AE46" s="7">
        <f>+AE12/AE6</f>
        <v>0.19973574102620567</v>
      </c>
    </row>
    <row r="47" spans="2:44" s="11" customFormat="1" x14ac:dyDescent="0.2"/>
    <row r="48" spans="2:44" s="7" customFormat="1" x14ac:dyDescent="0.2">
      <c r="B48" s="14" t="s">
        <v>89</v>
      </c>
      <c r="C48" s="13">
        <f>+C4/$N$15</f>
        <v>0</v>
      </c>
      <c r="D48" s="13">
        <f>+D4/$N$15</f>
        <v>0</v>
      </c>
      <c r="E48" s="13">
        <f>+E4/$N$15</f>
        <v>0</v>
      </c>
      <c r="F48" s="13">
        <f>+F4/$N$15</f>
        <v>0.54000633226287942</v>
      </c>
      <c r="G48" s="13">
        <f>+G4/$N$15</f>
        <v>0.50327920756253108</v>
      </c>
      <c r="H48" s="13">
        <f>+H4/$N$15</f>
        <v>0.49138359943914245</v>
      </c>
      <c r="I48" s="13">
        <f>+I4/$N$15</f>
        <v>0.46790899633633359</v>
      </c>
      <c r="J48" s="13">
        <f>+J4/$N$15</f>
        <v>0.47071328418291192</v>
      </c>
      <c r="K48" s="13">
        <f>+K4/$N$15</f>
        <v>0.45614907956036005</v>
      </c>
      <c r="L48" s="13">
        <f>+L4/$N$15</f>
        <v>0.46379302546474288</v>
      </c>
      <c r="M48" s="13">
        <f>+M4/$N$15</f>
        <v>0.45687276674657379</v>
      </c>
      <c r="N48" s="13">
        <f>+N4/$N$15</f>
        <v>0.47116558867429553</v>
      </c>
      <c r="O48" s="13">
        <f>+O4/$N$15</f>
        <v>0.82794337147767882</v>
      </c>
      <c r="P48" s="13">
        <f>+P4/$N$15</f>
        <v>0.85218689221583965</v>
      </c>
      <c r="Q48" s="13">
        <f>+Q4/$N$15</f>
        <v>0.86756524492288212</v>
      </c>
      <c r="R48" s="13"/>
      <c r="S48" s="13"/>
      <c r="U48" s="7">
        <f>+U4/$AE$15</f>
        <v>0.30927211978151048</v>
      </c>
      <c r="V48" s="7">
        <f>+V4/$AE$15</f>
        <v>0.31061772319341341</v>
      </c>
      <c r="W48" s="7">
        <f>+W4/$AE$15</f>
        <v>0.30163182922240089</v>
      </c>
      <c r="X48" s="7">
        <f>+X4/$AE$15</f>
        <v>0.39637143215536019</v>
      </c>
      <c r="Y48" s="7">
        <f>+Y4/$AE$15</f>
        <v>0.41248446284196</v>
      </c>
      <c r="Z48" s="7">
        <f>+Z4/$AE$15</f>
        <v>0.42570102516734515</v>
      </c>
      <c r="AA48" s="7">
        <f>+AA4/$AE$15</f>
        <v>0.40496960988904473</v>
      </c>
      <c r="AB48" s="7">
        <f>+AB4/$AE$15</f>
        <v>0.4798330539495741</v>
      </c>
      <c r="AC48" s="7">
        <f>+AC4/$AE$15</f>
        <v>0.52243622638066889</v>
      </c>
      <c r="AD48" s="7">
        <f>+AD4/$AE$15</f>
        <v>0.48741632741495899</v>
      </c>
      <c r="AE48" s="7">
        <f>+AE4/$AE$15</f>
        <v>0.46590947966200269</v>
      </c>
    </row>
    <row r="49" spans="2:41" s="15" customFormat="1" x14ac:dyDescent="0.2">
      <c r="B49" s="14" t="s">
        <v>88</v>
      </c>
      <c r="C49" s="13">
        <f>+C5/$N$15</f>
        <v>0</v>
      </c>
      <c r="D49" s="13">
        <f>+D5/$N$15</f>
        <v>0</v>
      </c>
      <c r="E49" s="13">
        <f>+E5/$N$15</f>
        <v>0</v>
      </c>
      <c r="F49" s="13">
        <f>+F5/$N$15</f>
        <v>0.38405174363381428</v>
      </c>
      <c r="G49" s="13">
        <f>+G5/$N$15</f>
        <v>0.36908046496901714</v>
      </c>
      <c r="H49" s="13">
        <f>+H5/$N$15</f>
        <v>0.37961915961825499</v>
      </c>
      <c r="I49" s="13">
        <f>+I5/$N$15</f>
        <v>0.39160522863992042</v>
      </c>
      <c r="J49" s="13">
        <f>+J5/$N$15</f>
        <v>0.37523180605183409</v>
      </c>
      <c r="K49" s="13">
        <f>+K5/$N$15</f>
        <v>0.38084038174499074</v>
      </c>
      <c r="L49" s="13">
        <f>+L5/$N$15</f>
        <v>0.39074585010629154</v>
      </c>
      <c r="M49" s="13">
        <f>+M5/$N$15</f>
        <v>0.39364059885114661</v>
      </c>
      <c r="N49" s="13">
        <f>+N5/$N$15</f>
        <v>0.38418743498122937</v>
      </c>
      <c r="O49" s="13"/>
      <c r="P49" s="13"/>
      <c r="Q49" s="13"/>
      <c r="R49" s="16"/>
      <c r="S49" s="16"/>
      <c r="U49" s="7">
        <f>+U5/$AE$15</f>
        <v>0.13247351555996487</v>
      </c>
      <c r="V49" s="7">
        <f>+V5/$AE$15</f>
        <v>0.14806198898429748</v>
      </c>
      <c r="W49" s="7">
        <f>+W5/$AE$15</f>
        <v>0.18900026227863112</v>
      </c>
      <c r="X49" s="7">
        <f>+X5/$AE$15</f>
        <v>0.20611679381478568</v>
      </c>
      <c r="Y49" s="7">
        <f>+Y5/$AE$15</f>
        <v>0.20976588781316638</v>
      </c>
      <c r="Z49" s="7">
        <f>+Z5/$AE$15</f>
        <v>0.2340209594836532</v>
      </c>
      <c r="AA49" s="7">
        <f>+AA5/$AE$15</f>
        <v>0.25923391832871495</v>
      </c>
      <c r="AB49" s="7">
        <f>+AB5/$AE$15</f>
        <v>0.34775865804568212</v>
      </c>
      <c r="AC49" s="7">
        <f>+AC5/$AE$15</f>
        <v>0.3789584117318372</v>
      </c>
      <c r="AD49" s="7">
        <f>+AD5/$AE$15</f>
        <v>0.3820943518866956</v>
      </c>
      <c r="AE49" s="7">
        <f>+AE5/$AE$15</f>
        <v>0.39063551252665552</v>
      </c>
    </row>
    <row r="50" spans="2:41" s="7" customFormat="1" x14ac:dyDescent="0.2">
      <c r="B50" s="14" t="s">
        <v>87</v>
      </c>
      <c r="C50" s="13">
        <f>+C6/$N$15</f>
        <v>0</v>
      </c>
      <c r="D50" s="13">
        <f>+D6/$N$15</f>
        <v>0</v>
      </c>
      <c r="E50" s="13">
        <f>+E6/$N$15</f>
        <v>0</v>
      </c>
      <c r="F50" s="13">
        <f>+F6/$N$15</f>
        <v>0.12465511782532</v>
      </c>
      <c r="G50" s="13">
        <f>+G6/$N$15</f>
        <v>0.12316251300375412</v>
      </c>
      <c r="H50" s="13">
        <f>+H6/$N$15</f>
        <v>0.11099552218553531</v>
      </c>
      <c r="I50" s="13">
        <f>+I6/$N$15</f>
        <v>9.8873761816454839E-2</v>
      </c>
      <c r="J50" s="13">
        <f>+J6/$N$15</f>
        <v>0.10262788909493871</v>
      </c>
      <c r="K50" s="13">
        <f>+K6/$N$15</f>
        <v>0.10362295897598263</v>
      </c>
      <c r="L50" s="13">
        <f>+L6/$N$15</f>
        <v>0.10674385996652946</v>
      </c>
      <c r="M50" s="13">
        <f>+M6/$N$15</f>
        <v>9.6114704419014887E-2</v>
      </c>
      <c r="N50" s="13">
        <f>+N6/$N$15</f>
        <v>0.10430141571305802</v>
      </c>
      <c r="O50" s="13">
        <f>+O6/$N$15</f>
        <v>0.10534171604324032</v>
      </c>
      <c r="P50" s="13">
        <f>+P6/$N$15</f>
        <v>9.8466687774209596E-2</v>
      </c>
      <c r="Q50" s="13">
        <f>+Q6/$N$15</f>
        <v>9.4486408250033918E-2</v>
      </c>
      <c r="R50" s="13"/>
      <c r="S50" s="13"/>
      <c r="U50" s="7">
        <f>+U6/$AE$15</f>
        <v>6.5649481714618041E-2</v>
      </c>
      <c r="V50" s="7">
        <f>+V6/$AE$15</f>
        <v>7.0598565449921893E-2</v>
      </c>
      <c r="W50" s="7">
        <f>+W6/$AE$15</f>
        <v>7.0701196218626347E-2</v>
      </c>
      <c r="X50" s="7">
        <f>+X6/$AE$15</f>
        <v>7.3472226973646693E-2</v>
      </c>
      <c r="Y50" s="7">
        <f>+Y6/$AE$15</f>
        <v>7.7680088490529459E-2</v>
      </c>
      <c r="Z50" s="7">
        <f>+Z6/$AE$15</f>
        <v>8.6460720924133053E-2</v>
      </c>
      <c r="AA50" s="7">
        <f>+AA6/$AE$15</f>
        <v>8.0987079926561983E-2</v>
      </c>
      <c r="AB50" s="7">
        <f>+AB6/$AE$15</f>
        <v>8.9322979029112931E-2</v>
      </c>
      <c r="AC50" s="7">
        <f>+AC6/$AE$15</f>
        <v>0.10869738747676554</v>
      </c>
      <c r="AD50" s="7">
        <f>+AD6/$AE$15</f>
        <v>0.1098377293512595</v>
      </c>
      <c r="AE50" s="7">
        <f>+AE6/$AE$15</f>
        <v>0.10356584904154266</v>
      </c>
    </row>
    <row r="51" spans="2:41" s="7" customFormat="1" x14ac:dyDescent="0.2">
      <c r="B51" s="14" t="s">
        <v>86</v>
      </c>
      <c r="C51" s="13">
        <f>+C7/$N$15</f>
        <v>0</v>
      </c>
      <c r="D51" s="13">
        <f>+D7/$N$15</f>
        <v>0</v>
      </c>
      <c r="E51" s="13">
        <f>+E7/$N$15</f>
        <v>0</v>
      </c>
      <c r="F51" s="13">
        <f>+F7/$N$15</f>
        <v>3.4375141345153559E-3</v>
      </c>
      <c r="G51" s="13">
        <f>+G7/$N$15</f>
        <v>3.1661314396851962E-3</v>
      </c>
      <c r="H51" s="13">
        <f>+H7/$N$15</f>
        <v>3.0756705414084762E-3</v>
      </c>
      <c r="I51" s="13">
        <f>+I7/$N$15</f>
        <v>3.9350490750373153E-3</v>
      </c>
      <c r="J51" s="13">
        <f>+J7/$N$15</f>
        <v>3.4375141345153559E-3</v>
      </c>
      <c r="K51" s="13">
        <f>+K7/$N$15</f>
        <v>3.2565923379619158E-3</v>
      </c>
      <c r="L51" s="13">
        <f>+L7/$N$15</f>
        <v>2.9399791939933966E-3</v>
      </c>
      <c r="M51" s="13">
        <f>+M7/$N$15</f>
        <v>2.8947487448550365E-3</v>
      </c>
      <c r="N51" s="13">
        <f>+N7/$N$15</f>
        <v>2.6685964991632369E-3</v>
      </c>
      <c r="O51" s="13"/>
      <c r="P51" s="13"/>
      <c r="Q51" s="13"/>
      <c r="R51" s="13"/>
      <c r="S51" s="13"/>
      <c r="U51" s="7">
        <f>+U7/$AE$15</f>
        <v>1.7515651192227429E-2</v>
      </c>
      <c r="V51" s="7">
        <f>+V7/$AE$15</f>
        <v>1.7618281960931886E-2</v>
      </c>
      <c r="W51" s="7">
        <f>+W7/$AE$15</f>
        <v>1.8165646060688996E-2</v>
      </c>
      <c r="X51" s="7">
        <f>+X7/$AE$15</f>
        <v>1.8484941785547306E-2</v>
      </c>
      <c r="Y51" s="7">
        <f>+Y7/$AE$15</f>
        <v>1.881564092915056E-2</v>
      </c>
      <c r="Z51" s="7">
        <f>+Z7/$AE$15</f>
        <v>1.928318109769309E-2</v>
      </c>
      <c r="AA51" s="7">
        <f>+AA7/$AE$15</f>
        <v>2.508752123886741E-4</v>
      </c>
      <c r="AB51" s="7">
        <f>+AB7/$AE$15</f>
        <v>3.6490939983807146E-4</v>
      </c>
      <c r="AC51" s="7">
        <f>+AC7/$AE$15</f>
        <v>2.8850649424697525E-3</v>
      </c>
      <c r="AD51" s="7">
        <f>+AD7/$AE$15</f>
        <v>3.4324290422268595E-3</v>
      </c>
      <c r="AE51" s="7">
        <f>+AE7/$AE$15</f>
        <v>2.9648888736843308E-3</v>
      </c>
    </row>
    <row r="52" spans="2:41" s="7" customFormat="1" x14ac:dyDescent="0.2">
      <c r="B52" s="14" t="s">
        <v>85</v>
      </c>
      <c r="C52" s="13">
        <f>+C8/$N$15</f>
        <v>0</v>
      </c>
      <c r="D52" s="13">
        <f>+D8/$N$15</f>
        <v>0</v>
      </c>
      <c r="E52" s="13">
        <f>+E8/$N$15</f>
        <v>0</v>
      </c>
      <c r="F52" s="13">
        <f>+F8/$N$15</f>
        <v>5.1200868424623458E-2</v>
      </c>
      <c r="G52" s="13">
        <f>+G8/$N$15</f>
        <v>5.2557781898774254E-2</v>
      </c>
      <c r="H52" s="13">
        <f>+H8/$N$15</f>
        <v>4.6813514858202544E-2</v>
      </c>
      <c r="I52" s="13">
        <f>+I8/$N$15</f>
        <v>4.0390791080555433E-2</v>
      </c>
      <c r="J52" s="13">
        <f>+J8/$N$15</f>
        <v>3.9893256140033473E-2</v>
      </c>
      <c r="K52" s="13">
        <f>+K8/$N$15</f>
        <v>3.6772355149486631E-2</v>
      </c>
      <c r="L52" s="13">
        <f>+L8/$N$15</f>
        <v>3.8310190420190869E-2</v>
      </c>
      <c r="M52" s="13">
        <f>+M8/$N$15</f>
        <v>3.3696684608078155E-2</v>
      </c>
      <c r="N52" s="13">
        <f>+N8/$N$15</f>
        <v>3.7676964132253833E-2</v>
      </c>
      <c r="O52" s="13">
        <f>+O8/$N$15</f>
        <v>4.2742774435750149E-2</v>
      </c>
      <c r="P52" s="13">
        <f>+P8/$N$15</f>
        <v>4.2923696232303583E-2</v>
      </c>
      <c r="Q52" s="13">
        <f>+Q8/$N$15</f>
        <v>4.025509973314035E-2</v>
      </c>
      <c r="R52" s="13"/>
      <c r="S52" s="13"/>
      <c r="U52" s="7">
        <f>+U8/$AE$15</f>
        <v>-5.2911862976520365E-3</v>
      </c>
      <c r="V52" s="7">
        <f>+V8/$AE$15</f>
        <v>-5.7701298849395051E-3</v>
      </c>
      <c r="W52" s="7">
        <f>+W8/$AE$15</f>
        <v>-5.1657486914576988E-3</v>
      </c>
      <c r="X52" s="7">
        <f>+X8/$AE$15</f>
        <v>-6.6025794533201053E-3</v>
      </c>
      <c r="Y52" s="7">
        <f>+Y8/$AE$15</f>
        <v>2.7607676781499092E-2</v>
      </c>
      <c r="Z52" s="7">
        <f>+Z8/$AE$15</f>
        <v>2.9272575918260293E-2</v>
      </c>
      <c r="AA52" s="7">
        <f>+AA8/$AE$15</f>
        <v>4.3868951911783152E-2</v>
      </c>
      <c r="AB52" s="7">
        <f>+AB8/$AE$15</f>
        <v>4.0140033982187857E-2</v>
      </c>
      <c r="AC52" s="7">
        <f>+AC8/$AE$15</f>
        <v>5.3379403145062891E-2</v>
      </c>
      <c r="AD52" s="7">
        <f>+AD8/$AE$15</f>
        <v>4.5294379254900617E-2</v>
      </c>
      <c r="AE52" s="7">
        <f>+AE8/$AE$15</f>
        <v>3.6924269896114859E-2</v>
      </c>
    </row>
    <row r="53" spans="2:41" s="7" customFormat="1" x14ac:dyDescent="0.2"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spans="2:41" s="11" customFormat="1" x14ac:dyDescent="0.2"/>
    <row r="55" spans="2:41" x14ac:dyDescent="0.2">
      <c r="B55" s="3" t="s">
        <v>13</v>
      </c>
      <c r="K55" s="3">
        <f>+K56-K67</f>
        <v>-13441</v>
      </c>
      <c r="L55" s="3">
        <f>+L56-L67</f>
        <v>-13798</v>
      </c>
      <c r="M55" s="3">
        <f>+M56-M67</f>
        <v>-14545</v>
      </c>
      <c r="N55" s="3">
        <f>+N56-N67</f>
        <v>-13702</v>
      </c>
      <c r="O55" s="3">
        <f>+O56-O67</f>
        <v>-14343</v>
      </c>
      <c r="P55" s="3">
        <f>+P56-P67</f>
        <v>-14996</v>
      </c>
      <c r="Q55" s="3">
        <f>+Q56-Q67</f>
        <v>-15006</v>
      </c>
      <c r="AE55" s="3">
        <f>+AE56-AE67</f>
        <v>-13702</v>
      </c>
      <c r="AF55" s="3">
        <f>+AE55+AF30</f>
        <v>-9610.2603999999992</v>
      </c>
      <c r="AG55" s="3">
        <f>+AF55+AG30</f>
        <v>-5186.204480080004</v>
      </c>
      <c r="AH55" s="3">
        <f>+AG55+AH30</f>
        <v>-406.0528725816157</v>
      </c>
      <c r="AI55" s="3">
        <f>+AH55+AI30</f>
        <v>4755.6476093831598</v>
      </c>
      <c r="AJ55" s="3">
        <f>+AI55+AJ30</f>
        <v>10326.141519118057</v>
      </c>
      <c r="AK55" s="3">
        <f>+AJ55+AK30</f>
        <v>16334.590575791906</v>
      </c>
      <c r="AL55" s="3">
        <f>+AK55+AL30</f>
        <v>22812.208295464588</v>
      </c>
      <c r="AM55" s="3">
        <f>+AL55+AM30</f>
        <v>29792.404073670819</v>
      </c>
      <c r="AN55" s="3">
        <f>+AM55+AN30</f>
        <v>37310.937383065764</v>
      </c>
      <c r="AO55" s="3">
        <f>+AN55+AO30</f>
        <v>45406.082796214469</v>
      </c>
    </row>
    <row r="56" spans="2:41" x14ac:dyDescent="0.2">
      <c r="B56" s="3" t="s">
        <v>5</v>
      </c>
      <c r="K56" s="3">
        <v>7055</v>
      </c>
      <c r="L56" s="3">
        <v>6729</v>
      </c>
      <c r="M56" s="3">
        <v>5644</v>
      </c>
      <c r="N56" s="3">
        <v>6501</v>
      </c>
      <c r="O56" s="3">
        <v>5943</v>
      </c>
      <c r="P56" s="3">
        <v>5029</v>
      </c>
      <c r="Q56" s="3">
        <v>5135</v>
      </c>
      <c r="AE56" s="3">
        <v>6501</v>
      </c>
    </row>
    <row r="57" spans="2:41" x14ac:dyDescent="0.2">
      <c r="B57" s="3" t="s">
        <v>58</v>
      </c>
      <c r="K57" s="3">
        <v>10207</v>
      </c>
      <c r="L57" s="3">
        <v>10665</v>
      </c>
      <c r="M57" s="3">
        <v>9904</v>
      </c>
      <c r="N57" s="3">
        <v>10087</v>
      </c>
      <c r="O57" s="3">
        <v>10312</v>
      </c>
      <c r="P57" s="3">
        <v>10737</v>
      </c>
      <c r="Q57" s="3">
        <v>10230</v>
      </c>
      <c r="AE57" s="3">
        <v>10087</v>
      </c>
    </row>
    <row r="58" spans="2:41" x14ac:dyDescent="0.2">
      <c r="B58" s="3" t="s">
        <v>84</v>
      </c>
      <c r="K58" s="3">
        <v>631</v>
      </c>
      <c r="L58" s="3">
        <v>632</v>
      </c>
      <c r="M58" s="3">
        <v>640</v>
      </c>
      <c r="N58" s="3">
        <v>614</v>
      </c>
      <c r="O58" s="3">
        <v>611</v>
      </c>
      <c r="P58" s="3">
        <v>620</v>
      </c>
      <c r="Q58" s="3">
        <v>617</v>
      </c>
      <c r="AE58" s="3">
        <v>614</v>
      </c>
    </row>
    <row r="59" spans="2:41" x14ac:dyDescent="0.2">
      <c r="B59" s="3" t="s">
        <v>83</v>
      </c>
      <c r="K59" s="3">
        <v>994</v>
      </c>
      <c r="L59" s="3">
        <v>1091</v>
      </c>
      <c r="M59" s="3">
        <v>1236</v>
      </c>
      <c r="N59" s="3">
        <v>1005</v>
      </c>
      <c r="O59" s="3">
        <v>1228</v>
      </c>
      <c r="P59" s="3">
        <v>1335</v>
      </c>
      <c r="Q59" s="3">
        <v>1232</v>
      </c>
      <c r="AE59" s="3">
        <v>1005</v>
      </c>
    </row>
    <row r="60" spans="2:41" x14ac:dyDescent="0.2">
      <c r="B60" s="3" t="s">
        <v>82</v>
      </c>
      <c r="K60" s="3">
        <v>81992</v>
      </c>
      <c r="L60" s="3">
        <v>83281</v>
      </c>
      <c r="M60" s="3">
        <v>84145</v>
      </c>
      <c r="N60" s="3">
        <v>84391</v>
      </c>
      <c r="O60" s="3">
        <v>85158</v>
      </c>
      <c r="P60" s="3">
        <v>85658</v>
      </c>
      <c r="Q60" s="3">
        <v>86565</v>
      </c>
      <c r="AE60" s="3">
        <v>84391</v>
      </c>
    </row>
    <row r="61" spans="2:41" x14ac:dyDescent="0.2">
      <c r="B61" s="12" t="s">
        <v>81</v>
      </c>
      <c r="K61" s="3">
        <v>40818</v>
      </c>
      <c r="L61" s="3">
        <v>41749</v>
      </c>
      <c r="M61" s="3">
        <v>42616</v>
      </c>
      <c r="N61" s="3">
        <v>42900</v>
      </c>
      <c r="O61" s="3">
        <v>43903</v>
      </c>
      <c r="P61" s="3">
        <v>44652</v>
      </c>
      <c r="Q61" s="3">
        <v>45601</v>
      </c>
      <c r="AE61" s="3">
        <v>42900</v>
      </c>
    </row>
    <row r="62" spans="2:41" x14ac:dyDescent="0.2">
      <c r="B62" s="12" t="s">
        <v>80</v>
      </c>
      <c r="K62" s="3">
        <f>+K60-K61</f>
        <v>41174</v>
      </c>
      <c r="L62" s="3">
        <f>+L60-L61</f>
        <v>41532</v>
      </c>
      <c r="M62" s="3">
        <f>+M60-M61</f>
        <v>41529</v>
      </c>
      <c r="N62" s="3">
        <f>+N60-N61</f>
        <v>41491</v>
      </c>
      <c r="O62" s="3">
        <f>+O60-O61</f>
        <v>41255</v>
      </c>
      <c r="P62" s="3">
        <f>+P60-P61</f>
        <v>41006</v>
      </c>
      <c r="Q62" s="3">
        <f>+Q60-Q61</f>
        <v>40964</v>
      </c>
      <c r="AE62" s="3">
        <f>+AE60-AE61</f>
        <v>41491</v>
      </c>
    </row>
    <row r="63" spans="2:41" x14ac:dyDescent="0.2">
      <c r="B63" s="3" t="s">
        <v>76</v>
      </c>
      <c r="K63" s="3">
        <v>17327</v>
      </c>
      <c r="L63" s="3">
        <f>17243</f>
        <v>17243</v>
      </c>
      <c r="M63" s="3">
        <v>16935</v>
      </c>
      <c r="N63" s="3">
        <v>17115</v>
      </c>
      <c r="O63" s="3">
        <v>17094</v>
      </c>
      <c r="P63" s="3">
        <v>16821</v>
      </c>
      <c r="Q63" s="3">
        <v>16468</v>
      </c>
      <c r="AE63" s="3">
        <v>17115</v>
      </c>
    </row>
    <row r="64" spans="2:41" x14ac:dyDescent="0.2">
      <c r="B64" s="3" t="s">
        <v>79</v>
      </c>
      <c r="K64" s="3">
        <v>6422</v>
      </c>
      <c r="L64" s="3">
        <v>6468</v>
      </c>
      <c r="M64" s="3">
        <v>6425</v>
      </c>
      <c r="N64" s="3">
        <v>6423</v>
      </c>
      <c r="O64" s="3">
        <v>6512</v>
      </c>
      <c r="P64" s="3">
        <v>6290</v>
      </c>
      <c r="Q64" s="3">
        <v>6332</v>
      </c>
      <c r="AE64" s="3">
        <v>6423</v>
      </c>
    </row>
    <row r="65" spans="2:31" x14ac:dyDescent="0.2">
      <c r="B65" s="3" t="s">
        <v>46</v>
      </c>
      <c r="K65" s="3">
        <v>3766</v>
      </c>
      <c r="L65" s="3">
        <v>3691</v>
      </c>
      <c r="M65" s="3">
        <v>3801</v>
      </c>
      <c r="N65" s="3">
        <v>3771</v>
      </c>
      <c r="O65" s="3">
        <v>3756</v>
      </c>
      <c r="P65" s="3">
        <v>3643</v>
      </c>
      <c r="Q65" s="3">
        <v>4065</v>
      </c>
      <c r="AE65" s="3">
        <v>3771</v>
      </c>
    </row>
    <row r="66" spans="2:31" s="8" customFormat="1" x14ac:dyDescent="0.2">
      <c r="B66" s="8" t="s">
        <v>78</v>
      </c>
      <c r="K66" s="8">
        <f>+SUM(K62:K65)+SUM(K56:K59)</f>
        <v>87576</v>
      </c>
      <c r="L66" s="8">
        <f>+SUM(L62:L65)+SUM(L56:L59)</f>
        <v>88051</v>
      </c>
      <c r="M66" s="8">
        <f>+SUM(M62:M65)+SUM(M56:M59)</f>
        <v>86114</v>
      </c>
      <c r="N66" s="8">
        <f>+SUM(N62:N65)+SUM(N56:N59)</f>
        <v>87007</v>
      </c>
      <c r="O66" s="8">
        <f>+SUM(O62:O65)+SUM(O56:O59)</f>
        <v>86711</v>
      </c>
      <c r="P66" s="8">
        <f>+SUM(P62:P65)+SUM(P56:P59)</f>
        <v>85481</v>
      </c>
      <c r="Q66" s="8">
        <f>+SUM(Q62:Q65)+SUM(Q56:Q59)</f>
        <v>85043</v>
      </c>
      <c r="AE66" s="8">
        <f>+SUM(AE62:AE65)+SUM(AE56:AE59)</f>
        <v>87007</v>
      </c>
    </row>
    <row r="67" spans="2:31" x14ac:dyDescent="0.2">
      <c r="B67" s="3" t="s">
        <v>6</v>
      </c>
      <c r="K67" s="3">
        <f>351+20145</f>
        <v>20496</v>
      </c>
      <c r="L67" s="3">
        <f>334+20193</f>
        <v>20527</v>
      </c>
      <c r="M67" s="3">
        <f>67+20122</f>
        <v>20189</v>
      </c>
      <c r="N67" s="3">
        <f>68+20135</f>
        <v>20203</v>
      </c>
      <c r="O67" s="3">
        <f>622+19664</f>
        <v>20286</v>
      </c>
      <c r="P67" s="3">
        <f>592+19433</f>
        <v>20025</v>
      </c>
      <c r="Q67" s="3">
        <f>611+19530</f>
        <v>20141</v>
      </c>
      <c r="AE67" s="3">
        <f>68+20135</f>
        <v>20203</v>
      </c>
    </row>
    <row r="68" spans="2:31" x14ac:dyDescent="0.2">
      <c r="B68" s="3" t="s">
        <v>77</v>
      </c>
      <c r="K68" s="3">
        <v>2365</v>
      </c>
      <c r="L68" s="3">
        <v>2732</v>
      </c>
      <c r="M68" s="3">
        <v>2541</v>
      </c>
      <c r="N68" s="3">
        <v>2673</v>
      </c>
      <c r="O68" s="3">
        <v>2336</v>
      </c>
      <c r="P68" s="3">
        <v>2710</v>
      </c>
      <c r="Q68" s="3">
        <v>2601</v>
      </c>
      <c r="AE68" s="3">
        <v>2673</v>
      </c>
    </row>
    <row r="69" spans="2:31" x14ac:dyDescent="0.2">
      <c r="B69" s="3" t="s">
        <v>57</v>
      </c>
      <c r="K69" s="3">
        <v>3794</v>
      </c>
      <c r="L69" s="3">
        <v>4002</v>
      </c>
      <c r="M69" s="3">
        <v>3780</v>
      </c>
      <c r="N69" s="3">
        <v>3189</v>
      </c>
      <c r="O69" s="3">
        <v>3738</v>
      </c>
      <c r="P69" s="3">
        <v>3896</v>
      </c>
      <c r="Q69" s="3">
        <v>3604</v>
      </c>
      <c r="AE69" s="3">
        <v>3189</v>
      </c>
    </row>
    <row r="70" spans="2:31" x14ac:dyDescent="0.2">
      <c r="B70" s="3" t="s">
        <v>76</v>
      </c>
      <c r="K70" s="3">
        <f>2382+15338</f>
        <v>17720</v>
      </c>
      <c r="L70" s="3">
        <f>2433+15222</f>
        <v>17655</v>
      </c>
      <c r="M70" s="3">
        <f>2447+14878</f>
        <v>17325</v>
      </c>
      <c r="N70" s="3">
        <f>2463+15053</f>
        <v>17516</v>
      </c>
      <c r="O70" s="3">
        <f>2510+14969</f>
        <v>17479</v>
      </c>
      <c r="P70" s="3">
        <f>2536+14713</f>
        <v>17249</v>
      </c>
      <c r="Q70" s="3">
        <f>2524+14366</f>
        <v>16890</v>
      </c>
      <c r="AE70" s="3">
        <f>2463+15053</f>
        <v>17516</v>
      </c>
    </row>
    <row r="71" spans="2:31" x14ac:dyDescent="0.2">
      <c r="B71" s="3" t="s">
        <v>75</v>
      </c>
      <c r="K71" s="3">
        <v>4919</v>
      </c>
      <c r="L71" s="3">
        <v>4747</v>
      </c>
      <c r="M71" s="3">
        <v>4473</v>
      </c>
      <c r="N71" s="3">
        <v>4962</v>
      </c>
      <c r="O71" s="3">
        <v>4905</v>
      </c>
      <c r="P71" s="3">
        <v>4658</v>
      </c>
      <c r="Q71" s="3">
        <v>4556</v>
      </c>
      <c r="AE71" s="3">
        <v>4962</v>
      </c>
    </row>
    <row r="72" spans="2:31" x14ac:dyDescent="0.2">
      <c r="B72" s="3" t="s">
        <v>74</v>
      </c>
      <c r="K72" s="3">
        <v>4450</v>
      </c>
      <c r="L72" s="3">
        <v>4386</v>
      </c>
      <c r="M72" s="3">
        <v>4378</v>
      </c>
      <c r="N72" s="3">
        <v>4482</v>
      </c>
      <c r="O72" s="3">
        <v>4485</v>
      </c>
      <c r="P72" s="3">
        <v>4436</v>
      </c>
      <c r="Q72" s="3">
        <v>4308</v>
      </c>
      <c r="AE72" s="3">
        <v>4482</v>
      </c>
    </row>
    <row r="73" spans="2:31" x14ac:dyDescent="0.2">
      <c r="B73" s="3" t="s">
        <v>73</v>
      </c>
      <c r="K73" s="3">
        <v>3021</v>
      </c>
      <c r="L73" s="3">
        <v>2854</v>
      </c>
      <c r="M73" s="3">
        <v>2527</v>
      </c>
      <c r="N73" s="3">
        <v>2010</v>
      </c>
      <c r="O73" s="3">
        <v>1780</v>
      </c>
      <c r="P73" s="3">
        <v>1571</v>
      </c>
      <c r="Q73" s="3">
        <v>1664</v>
      </c>
      <c r="AE73" s="3">
        <v>2010</v>
      </c>
    </row>
    <row r="74" spans="2:31" x14ac:dyDescent="0.2">
      <c r="B74" s="3" t="s">
        <v>72</v>
      </c>
      <c r="K74" s="3">
        <v>3583</v>
      </c>
      <c r="L74" s="3">
        <v>3688</v>
      </c>
      <c r="M74" s="3">
        <v>3836</v>
      </c>
      <c r="N74" s="3">
        <v>3701</v>
      </c>
      <c r="O74" s="3">
        <v>3833</v>
      </c>
      <c r="P74" s="3">
        <v>3825</v>
      </c>
      <c r="Q74" s="3">
        <v>3914</v>
      </c>
      <c r="AE74" s="3">
        <v>3701</v>
      </c>
    </row>
    <row r="75" spans="2:31" x14ac:dyDescent="0.2">
      <c r="B75" s="3" t="s">
        <v>46</v>
      </c>
      <c r="K75" s="3">
        <v>694</v>
      </c>
      <c r="L75" s="3">
        <v>694</v>
      </c>
      <c r="M75" s="3">
        <v>690</v>
      </c>
      <c r="N75" s="3">
        <v>689</v>
      </c>
      <c r="O75" s="3">
        <v>693</v>
      </c>
      <c r="P75" s="3">
        <v>651</v>
      </c>
      <c r="Q75" s="3">
        <v>657</v>
      </c>
      <c r="AE75" s="3">
        <v>689</v>
      </c>
    </row>
    <row r="76" spans="2:31" s="8" customFormat="1" x14ac:dyDescent="0.2">
      <c r="B76" s="8" t="s">
        <v>71</v>
      </c>
      <c r="K76" s="8">
        <f>+SUM(K67:K75)</f>
        <v>61042</v>
      </c>
      <c r="L76" s="8">
        <f>+SUM(L67:L75)</f>
        <v>61285</v>
      </c>
      <c r="M76" s="8">
        <f>+SUM(M67:M75)</f>
        <v>59739</v>
      </c>
      <c r="N76" s="8">
        <f>+SUM(N67:N75)</f>
        <v>59425</v>
      </c>
      <c r="O76" s="8">
        <f>+SUM(O67:O75)</f>
        <v>59535</v>
      </c>
      <c r="P76" s="8">
        <f>+SUM(P67:P75)</f>
        <v>59021</v>
      </c>
      <c r="Q76" s="8">
        <f>+SUM(Q67:Q75)</f>
        <v>58335</v>
      </c>
      <c r="AE76" s="8">
        <f>+SUM(AE67:AE75)</f>
        <v>59425</v>
      </c>
    </row>
    <row r="77" spans="2:31" x14ac:dyDescent="0.2">
      <c r="B77" s="3" t="s">
        <v>70</v>
      </c>
      <c r="K77" s="3">
        <v>26534</v>
      </c>
      <c r="L77" s="3">
        <v>26766</v>
      </c>
      <c r="M77" s="3">
        <v>26375</v>
      </c>
      <c r="N77" s="3">
        <v>27582</v>
      </c>
      <c r="O77" s="3">
        <v>27176</v>
      </c>
      <c r="P77" s="3">
        <v>26460</v>
      </c>
      <c r="Q77" s="3">
        <v>26708</v>
      </c>
      <c r="AE77" s="3">
        <v>27582</v>
      </c>
    </row>
    <row r="78" spans="2:31" x14ac:dyDescent="0.2">
      <c r="B78" s="3" t="s">
        <v>69</v>
      </c>
      <c r="K78" s="3">
        <f>+K77+K76</f>
        <v>87576</v>
      </c>
      <c r="L78" s="3">
        <f>+L77+L76</f>
        <v>88051</v>
      </c>
      <c r="M78" s="3">
        <f>+M77+M76</f>
        <v>86114</v>
      </c>
      <c r="N78" s="3">
        <f>+N77+N76</f>
        <v>87007</v>
      </c>
      <c r="O78" s="3">
        <f>+O77+O76</f>
        <v>86711</v>
      </c>
      <c r="P78" s="3">
        <f>+P77+P76</f>
        <v>85481</v>
      </c>
      <c r="Q78" s="3">
        <f>+Q77+Q76</f>
        <v>85043</v>
      </c>
      <c r="AE78" s="3">
        <f>+AE77+AE76</f>
        <v>87007</v>
      </c>
    </row>
    <row r="80" spans="2:31" x14ac:dyDescent="0.2">
      <c r="B80" s="3" t="s">
        <v>12</v>
      </c>
      <c r="K80" s="3">
        <f>+SUM(H30:K30)</f>
        <v>4292</v>
      </c>
      <c r="L80" s="3">
        <f>+SUM(I30:L30)</f>
        <v>4404</v>
      </c>
      <c r="M80" s="3">
        <f>+SUM(J30:M30)</f>
        <v>4512</v>
      </c>
      <c r="N80" s="3">
        <f>+SUM(K30:N30)</f>
        <v>4488</v>
      </c>
      <c r="O80" s="3">
        <f>+SUM(L30:O30)</f>
        <v>4204</v>
      </c>
      <c r="P80" s="3">
        <f>+SUM(M30:P30)</f>
        <v>4045</v>
      </c>
      <c r="Q80" s="3">
        <f>+SUM(N30:Q30)</f>
        <v>4075</v>
      </c>
      <c r="AE80" s="3">
        <f>+AE30</f>
        <v>4488</v>
      </c>
    </row>
    <row r="81" spans="2:31" s="7" customFormat="1" x14ac:dyDescent="0.2">
      <c r="B81" s="7" t="s">
        <v>68</v>
      </c>
      <c r="K81" s="7">
        <f>+K80/(K57+K58+K59+K62+K63+K65)</f>
        <v>5.792250907569603E-2</v>
      </c>
      <c r="L81" s="7">
        <f>+L80/(L57+L58+L59+L62+L63+L65)</f>
        <v>5.8834531220776448E-2</v>
      </c>
      <c r="M81" s="7">
        <f>+M80/(M57+M58+M59+M62+M63+M65)</f>
        <v>6.0935917347558918E-2</v>
      </c>
      <c r="N81" s="7">
        <f>+N80/(N57+N58+N59+N62+N63+N65)</f>
        <v>6.0580700025646909E-2</v>
      </c>
      <c r="O81" s="7">
        <f>+O80/(O57+O58+O59+O62+O63+O65)</f>
        <v>5.6614953673777203E-2</v>
      </c>
      <c r="P81" s="7">
        <f>+P80/(P57+P58+P59+P62+P63+P65)</f>
        <v>5.4542757746554836E-2</v>
      </c>
      <c r="Q81" s="7">
        <f>+Q80/(Q57+Q58+Q59+Q62+Q63+Q65)</f>
        <v>5.5384908122213763E-2</v>
      </c>
      <c r="AE81" s="7">
        <f>+AE80/(AE57+AE58+AE59+AE62+AE63+AE65)</f>
        <v>6.0580700025646909E-2</v>
      </c>
    </row>
    <row r="82" spans="2:31" s="7" customFormat="1" x14ac:dyDescent="0.2"/>
    <row r="83" spans="2:31" x14ac:dyDescent="0.2">
      <c r="B83" s="3" t="s">
        <v>67</v>
      </c>
      <c r="K83" s="3">
        <f>+SUM(H25:K25)-SUM(H29:K29)</f>
        <v>3866</v>
      </c>
      <c r="L83" s="3">
        <f>+SUM(I25:L25)-SUM(I29:L29)</f>
        <v>3935</v>
      </c>
      <c r="M83" s="3">
        <f>+SUM(J25:M25)-SUM(J29:M29)</f>
        <v>4083</v>
      </c>
      <c r="N83" s="3">
        <f>+SUM(K25:N25)-SUM(K29:N29)</f>
        <v>4211</v>
      </c>
      <c r="O83" s="3">
        <f>+SUM(L25:O25)-SUM(L29:O29)</f>
        <v>3889</v>
      </c>
      <c r="P83" s="3">
        <f>+SUM(M25:P25)-SUM(M29:P29)</f>
        <v>3727</v>
      </c>
      <c r="Q83" s="3">
        <f>+SUM(N25:Q25)-SUM(N29:Q29)</f>
        <v>3808</v>
      </c>
      <c r="AE83" s="3">
        <f>+AE25*(1-AE36)</f>
        <v>4280.5619889871514</v>
      </c>
    </row>
    <row r="84" spans="2:31" x14ac:dyDescent="0.2">
      <c r="B84" s="3" t="s">
        <v>66</v>
      </c>
      <c r="K84" s="3">
        <f>+(K77+K67)-K56</f>
        <v>39975</v>
      </c>
      <c r="L84" s="3">
        <f>+(L77+L67)-L56</f>
        <v>40564</v>
      </c>
      <c r="M84" s="3">
        <f>+(M77+M67)-M56</f>
        <v>40920</v>
      </c>
      <c r="N84" s="3">
        <f>+(N77+N67)-N56</f>
        <v>41284</v>
      </c>
      <c r="O84" s="3">
        <f>+(O77+O67)-O56</f>
        <v>41519</v>
      </c>
      <c r="P84" s="3">
        <f>+(P77+P67)-P56</f>
        <v>41456</v>
      </c>
      <c r="Q84" s="3">
        <f>+Q77+Q67-Q56</f>
        <v>41714</v>
      </c>
      <c r="AE84" s="3">
        <f>+(AE77+AE67)-AE56</f>
        <v>41284</v>
      </c>
    </row>
    <row r="85" spans="2:31" s="11" customFormat="1" x14ac:dyDescent="0.2">
      <c r="B85" s="11" t="s">
        <v>11</v>
      </c>
      <c r="K85" s="11">
        <f>+K83/K84</f>
        <v>9.6710444027517203E-2</v>
      </c>
      <c r="L85" s="11">
        <f>+L83/L84</f>
        <v>9.7007198501134012E-2</v>
      </c>
      <c r="M85" s="11">
        <f>+M83/M84</f>
        <v>9.978005865102639E-2</v>
      </c>
      <c r="N85" s="11">
        <f>+N83/N84</f>
        <v>0.10200077511869005</v>
      </c>
      <c r="O85" s="11">
        <f>+O83/O84</f>
        <v>9.3667959247573401E-2</v>
      </c>
      <c r="P85" s="11">
        <f>+P83/P84</f>
        <v>8.9902547279042844E-2</v>
      </c>
      <c r="Q85" s="11">
        <f>+Q83/Q84</f>
        <v>9.128829649518147E-2</v>
      </c>
      <c r="AE85" s="11">
        <f>+AE83/AE84</f>
        <v>0.10368573754934482</v>
      </c>
    </row>
    <row r="87" spans="2:31" x14ac:dyDescent="0.2">
      <c r="B87" s="3" t="s">
        <v>65</v>
      </c>
      <c r="K87" s="3">
        <f>+K30</f>
        <v>1078</v>
      </c>
      <c r="L87" s="3">
        <f>+L30</f>
        <v>900</v>
      </c>
      <c r="M87" s="3">
        <f>+M30</f>
        <v>879</v>
      </c>
      <c r="N87" s="3">
        <f>+N30</f>
        <v>1631</v>
      </c>
      <c r="O87" s="3">
        <f>+O30</f>
        <v>794</v>
      </c>
      <c r="P87" s="3">
        <f>+P30</f>
        <v>741</v>
      </c>
      <c r="Q87" s="3">
        <f>+Q30</f>
        <v>909</v>
      </c>
      <c r="U87" s="3">
        <f>+U30</f>
        <v>2339</v>
      </c>
      <c r="V87" s="3">
        <f>+V30</f>
        <v>3516</v>
      </c>
      <c r="W87" s="3">
        <f>+W30</f>
        <v>2535</v>
      </c>
      <c r="X87" s="3">
        <f>+X30</f>
        <v>2973</v>
      </c>
      <c r="Y87" s="3">
        <f>+Y30</f>
        <v>4952</v>
      </c>
      <c r="Z87" s="3">
        <f>+Z30</f>
        <v>540</v>
      </c>
      <c r="AA87" s="3">
        <f>+AA30</f>
        <v>1721</v>
      </c>
      <c r="AB87" s="3">
        <f>+AB30</f>
        <v>5624</v>
      </c>
      <c r="AC87" s="3">
        <f>+AC30</f>
        <v>3826</v>
      </c>
      <c r="AD87" s="3">
        <f>+AD30</f>
        <v>4089</v>
      </c>
      <c r="AE87" s="3">
        <f>+AE30</f>
        <v>4488</v>
      </c>
    </row>
    <row r="88" spans="2:31" x14ac:dyDescent="0.2">
      <c r="B88" s="3" t="s">
        <v>64</v>
      </c>
      <c r="K88" s="3">
        <v>1078</v>
      </c>
      <c r="L88" s="3">
        <f>1978-K88</f>
        <v>900</v>
      </c>
      <c r="M88" s="3">
        <f>2857-SUM(K88:L88)</f>
        <v>879</v>
      </c>
      <c r="N88" s="3">
        <f>4331-SUM(K88:M88)</f>
        <v>1474</v>
      </c>
      <c r="O88" s="3">
        <v>794</v>
      </c>
      <c r="P88" s="3">
        <f>1535-O88</f>
        <v>741</v>
      </c>
      <c r="Q88" s="3">
        <f>2444-SUM(O88:P88)</f>
        <v>909</v>
      </c>
      <c r="U88" s="3">
        <v>2324</v>
      </c>
      <c r="V88" s="3">
        <v>1050</v>
      </c>
      <c r="W88" s="3">
        <v>1820</v>
      </c>
      <c r="X88" s="3">
        <v>2997</v>
      </c>
      <c r="Y88" s="3">
        <v>4572</v>
      </c>
      <c r="Z88" s="3">
        <v>540</v>
      </c>
      <c r="AA88" s="3">
        <v>1286</v>
      </c>
      <c r="AB88" s="3">
        <v>5231</v>
      </c>
      <c r="AC88" s="3">
        <v>3826</v>
      </c>
      <c r="AD88" s="3">
        <v>3972</v>
      </c>
      <c r="AE88" s="3">
        <v>4331</v>
      </c>
    </row>
    <row r="89" spans="2:31" x14ac:dyDescent="0.2">
      <c r="B89" s="3" t="s">
        <v>63</v>
      </c>
      <c r="K89" s="3">
        <v>1071</v>
      </c>
      <c r="L89" s="3">
        <f>2111-K89</f>
        <v>1040</v>
      </c>
      <c r="M89" s="3">
        <f>3183-SUM(K89:L89)</f>
        <v>1072</v>
      </c>
      <c r="N89" s="3">
        <f>4287-SUM(K89:M89)</f>
        <v>1104</v>
      </c>
      <c r="O89" s="3">
        <v>1078</v>
      </c>
      <c r="P89" s="3">
        <f>2141-O89</f>
        <v>1063</v>
      </c>
      <c r="Q89" s="3">
        <f>3207-SUM(O89:P89)</f>
        <v>1066</v>
      </c>
      <c r="U89" s="3">
        <v>2587</v>
      </c>
      <c r="V89" s="3">
        <v>2611</v>
      </c>
      <c r="W89" s="3">
        <v>2631</v>
      </c>
      <c r="X89" s="3">
        <v>2995</v>
      </c>
      <c r="Y89" s="3">
        <v>3095</v>
      </c>
      <c r="Z89" s="3">
        <v>3353</v>
      </c>
      <c r="AA89" s="3">
        <v>3615</v>
      </c>
      <c r="AB89" s="3">
        <v>3793</v>
      </c>
      <c r="AC89" s="3">
        <v>3970</v>
      </c>
      <c r="AD89" s="3">
        <v>4176</v>
      </c>
      <c r="AE89" s="3">
        <v>4287</v>
      </c>
    </row>
    <row r="90" spans="2:31" x14ac:dyDescent="0.2">
      <c r="B90" s="3" t="s">
        <v>62</v>
      </c>
      <c r="O90" s="3">
        <v>129</v>
      </c>
      <c r="P90" s="3">
        <f>250-O90</f>
        <v>121</v>
      </c>
      <c r="Q90" s="3">
        <f>382-SUM(O90:P90)</f>
        <v>132</v>
      </c>
    </row>
    <row r="91" spans="2:31" x14ac:dyDescent="0.2">
      <c r="B91" s="3" t="s">
        <v>61</v>
      </c>
      <c r="O91" s="3">
        <v>817</v>
      </c>
      <c r="P91" s="3">
        <f>1589-O91</f>
        <v>772</v>
      </c>
      <c r="Q91" s="3">
        <f>2353-SUM(O91:P91)</f>
        <v>764</v>
      </c>
    </row>
    <row r="92" spans="2:31" x14ac:dyDescent="0.2">
      <c r="B92" s="3" t="s">
        <v>60</v>
      </c>
      <c r="O92" s="3">
        <v>48</v>
      </c>
      <c r="P92" s="3">
        <f>84-O92</f>
        <v>36</v>
      </c>
      <c r="Q92" s="3">
        <f>116-SUM(O92:P92)</f>
        <v>32</v>
      </c>
    </row>
    <row r="93" spans="2:31" x14ac:dyDescent="0.2">
      <c r="B93" s="3" t="s">
        <v>59</v>
      </c>
      <c r="O93" s="3">
        <v>-69</v>
      </c>
      <c r="P93" s="3">
        <f>125-O93</f>
        <v>194</v>
      </c>
      <c r="Q93" s="3">
        <f>114-SUM(O93:P93)</f>
        <v>-11</v>
      </c>
    </row>
    <row r="94" spans="2:31" x14ac:dyDescent="0.2">
      <c r="B94" s="3" t="s">
        <v>58</v>
      </c>
      <c r="O94" s="3">
        <v>-305</v>
      </c>
      <c r="P94" s="3">
        <f>-1079-O94</f>
        <v>-774</v>
      </c>
      <c r="Q94" s="3">
        <f>-692-SUM(O94:P94)</f>
        <v>387</v>
      </c>
    </row>
    <row r="95" spans="2:31" x14ac:dyDescent="0.2">
      <c r="B95" s="3" t="s">
        <v>46</v>
      </c>
      <c r="O95" s="3">
        <v>-223</v>
      </c>
      <c r="P95" s="3">
        <f>-111-O95</f>
        <v>112</v>
      </c>
      <c r="Q95" s="3">
        <f>-68-SUM(O95:P95)</f>
        <v>43</v>
      </c>
    </row>
    <row r="96" spans="2:31" x14ac:dyDescent="0.2">
      <c r="B96" s="3" t="s">
        <v>57</v>
      </c>
      <c r="O96" s="3">
        <v>-1105</v>
      </c>
      <c r="P96" s="3">
        <f>-2087-O96</f>
        <v>-982</v>
      </c>
      <c r="Q96" s="3">
        <f>-3383-SUM(O96:P96)</f>
        <v>-1296</v>
      </c>
    </row>
    <row r="97" spans="2:32" x14ac:dyDescent="0.2">
      <c r="B97" s="3" t="s">
        <v>46</v>
      </c>
      <c r="O97" s="3">
        <v>23</v>
      </c>
      <c r="P97" s="3">
        <f>58-O97</f>
        <v>35</v>
      </c>
      <c r="Q97" s="3">
        <f>44-SUM(O97:P97)</f>
        <v>-14</v>
      </c>
    </row>
    <row r="98" spans="2:32" s="8" customFormat="1" x14ac:dyDescent="0.2">
      <c r="B98" s="8" t="s">
        <v>56</v>
      </c>
      <c r="K98" s="8">
        <v>2230</v>
      </c>
      <c r="L98" s="8">
        <f>4004-K98</f>
        <v>1774</v>
      </c>
      <c r="M98" s="8">
        <f>5614-SUM(K98:L98)</f>
        <v>1610</v>
      </c>
      <c r="N98" s="8">
        <f>8312-SUM(K98:M98)</f>
        <v>2698</v>
      </c>
      <c r="O98" s="8">
        <f>+SUM(O88:O97)</f>
        <v>1187</v>
      </c>
      <c r="P98" s="8">
        <f>+SUM(P88:P97)</f>
        <v>1318</v>
      </c>
      <c r="Q98" s="8">
        <f>+SUM(Q88:Q97)</f>
        <v>2012</v>
      </c>
      <c r="U98" s="8">
        <v>4264</v>
      </c>
      <c r="V98" s="8">
        <v>5366</v>
      </c>
      <c r="W98" s="8">
        <v>5708</v>
      </c>
      <c r="X98" s="8">
        <v>4930</v>
      </c>
      <c r="Y98" s="8">
        <v>4674</v>
      </c>
      <c r="Z98" s="8">
        <v>5613</v>
      </c>
      <c r="AA98" s="8">
        <v>5097</v>
      </c>
      <c r="AB98" s="8">
        <v>10135</v>
      </c>
      <c r="AC98" s="8">
        <v>9832</v>
      </c>
      <c r="AD98" s="8">
        <v>8848</v>
      </c>
      <c r="AE98" s="8">
        <v>8312</v>
      </c>
    </row>
    <row r="100" spans="2:32" x14ac:dyDescent="0.2">
      <c r="B100" s="3" t="s">
        <v>55</v>
      </c>
      <c r="K100" s="3">
        <v>-1290</v>
      </c>
      <c r="L100" s="3">
        <f>-2595-K100</f>
        <v>-1305</v>
      </c>
      <c r="M100" s="3">
        <f>-3974-SUM(K100:L100)</f>
        <v>-1379</v>
      </c>
      <c r="N100" s="3">
        <f>-5176-SUM(K100:M100)</f>
        <v>-1202</v>
      </c>
      <c r="O100" s="3">
        <v>-767</v>
      </c>
      <c r="P100" s="3">
        <f>-1585-O100</f>
        <v>-818</v>
      </c>
      <c r="Q100" s="3">
        <f>-2582-SUM(O100:P100)</f>
        <v>-997</v>
      </c>
      <c r="R100" s="3">
        <f>+AF100-SUM(O100:Q100)</f>
        <v>-2318</v>
      </c>
      <c r="U100" s="3">
        <v>-3533</v>
      </c>
      <c r="V100" s="3">
        <v>-4347</v>
      </c>
      <c r="W100" s="3">
        <v>-4818</v>
      </c>
      <c r="X100" s="3">
        <v>-5116</v>
      </c>
      <c r="Y100" s="3">
        <v>-5663</v>
      </c>
      <c r="Z100" s="3">
        <v>-5490</v>
      </c>
      <c r="AA100" s="3">
        <v>-5868</v>
      </c>
      <c r="AB100" s="3">
        <v>-5884</v>
      </c>
      <c r="AC100" s="3">
        <v>-6763</v>
      </c>
      <c r="AD100" s="3">
        <v>-6174</v>
      </c>
      <c r="AE100" s="3">
        <v>-5176</v>
      </c>
      <c r="AF100" s="3">
        <v>-4900</v>
      </c>
    </row>
    <row r="101" spans="2:32" x14ac:dyDescent="0.2">
      <c r="B101" s="3" t="s">
        <v>54</v>
      </c>
      <c r="U101" s="3">
        <v>-36</v>
      </c>
      <c r="V101" s="3">
        <v>-1429</v>
      </c>
      <c r="W101" s="3">
        <v>-4618</v>
      </c>
      <c r="X101" s="3">
        <v>0</v>
      </c>
      <c r="Y101" s="3">
        <v>-179</v>
      </c>
      <c r="Z101" s="3">
        <v>-66</v>
      </c>
      <c r="AA101" s="3">
        <v>0</v>
      </c>
      <c r="AB101" s="3">
        <v>-228</v>
      </c>
      <c r="AC101" s="3">
        <v>0</v>
      </c>
      <c r="AD101" s="3">
        <v>0</v>
      </c>
      <c r="AE101" s="3">
        <v>0</v>
      </c>
    </row>
    <row r="102" spans="2:32" x14ac:dyDescent="0.2">
      <c r="B102" s="3" t="s">
        <v>53</v>
      </c>
    </row>
    <row r="103" spans="2:32" x14ac:dyDescent="0.2">
      <c r="B103" s="3" t="s">
        <v>52</v>
      </c>
      <c r="O103" s="3">
        <f>-61+13</f>
        <v>-48</v>
      </c>
      <c r="P103" s="3">
        <f>-107+52-O103</f>
        <v>-7</v>
      </c>
      <c r="Q103" s="3">
        <f>-197+77-SUM(O103:P103)</f>
        <v>-65</v>
      </c>
    </row>
    <row r="104" spans="2:32" x14ac:dyDescent="0.2">
      <c r="B104" s="3" t="s">
        <v>51</v>
      </c>
      <c r="O104" s="3">
        <v>13</v>
      </c>
      <c r="P104" s="3">
        <f>34-O104</f>
        <v>21</v>
      </c>
      <c r="Q104" s="3">
        <f>42-SUM(O104:P104)</f>
        <v>8</v>
      </c>
    </row>
    <row r="105" spans="2:32" x14ac:dyDescent="0.2">
      <c r="B105" s="3" t="s">
        <v>50</v>
      </c>
      <c r="O105" s="3">
        <f>+SUM(O100:O104)</f>
        <v>-802</v>
      </c>
      <c r="P105" s="3">
        <f>+SUM(P100:P104)</f>
        <v>-804</v>
      </c>
      <c r="Q105" s="3">
        <f>+SUM(Q100:Q104)</f>
        <v>-1054</v>
      </c>
    </row>
    <row r="107" spans="2:32" x14ac:dyDescent="0.2">
      <c r="B107" s="3" t="s">
        <v>6</v>
      </c>
      <c r="K107" s="3">
        <v>-66</v>
      </c>
      <c r="L107" s="3">
        <f>-94-K107</f>
        <v>-28</v>
      </c>
      <c r="M107" s="3">
        <f>-143-SUM(K107:L107)</f>
        <v>-49</v>
      </c>
      <c r="N107" s="3">
        <f>-147-SUM(K107:M107)</f>
        <v>-4</v>
      </c>
      <c r="O107" s="3">
        <v>-34</v>
      </c>
      <c r="P107" s="3">
        <f>-47-O107</f>
        <v>-13</v>
      </c>
      <c r="Q107" s="3">
        <f>-89-SUM(O107:P107)</f>
        <v>-42</v>
      </c>
      <c r="U107" s="3">
        <f>-254+1997</f>
        <v>1743</v>
      </c>
      <c r="V107" s="3">
        <f>-5+2491</f>
        <v>2486</v>
      </c>
      <c r="W107" s="3">
        <f>-41+6519</f>
        <v>6478</v>
      </c>
      <c r="X107" s="3">
        <f>-82+1190</f>
        <v>1108</v>
      </c>
      <c r="Y107" s="3">
        <f>-38+1480</f>
        <v>1442</v>
      </c>
      <c r="Z107" s="3">
        <f>-1436+2463</f>
        <v>1027</v>
      </c>
      <c r="AA107" s="3">
        <f>-2548+6556</f>
        <v>4008</v>
      </c>
      <c r="AB107" s="3">
        <f>-6318+4212</f>
        <v>-2106</v>
      </c>
      <c r="AC107" s="3">
        <v>-161</v>
      </c>
      <c r="AD107" s="3">
        <v>-147</v>
      </c>
      <c r="AE107" s="3">
        <v>-152</v>
      </c>
    </row>
    <row r="108" spans="2:32" x14ac:dyDescent="0.2">
      <c r="B108" s="3" t="s">
        <v>49</v>
      </c>
      <c r="K108" s="3">
        <v>157</v>
      </c>
      <c r="L108" s="3">
        <f>211-K108</f>
        <v>54</v>
      </c>
      <c r="M108" s="3">
        <f>265-SUM(K108:L108)</f>
        <v>54</v>
      </c>
      <c r="N108" s="3">
        <f>491-SUM(K108:M108)</f>
        <v>226</v>
      </c>
      <c r="O108" s="3">
        <v>404</v>
      </c>
      <c r="P108" s="3">
        <f>440-O108</f>
        <v>36</v>
      </c>
      <c r="Q108" s="3">
        <f>472-SUM(O108:P108)</f>
        <v>32</v>
      </c>
      <c r="U108" s="3">
        <v>0</v>
      </c>
      <c r="V108" s="3">
        <v>0</v>
      </c>
      <c r="W108" s="3">
        <v>183</v>
      </c>
      <c r="X108" s="3">
        <v>337</v>
      </c>
      <c r="Y108" s="3">
        <v>327</v>
      </c>
      <c r="Z108" s="3">
        <v>101</v>
      </c>
      <c r="AA108" s="3">
        <v>64</v>
      </c>
      <c r="AB108" s="3">
        <v>740</v>
      </c>
      <c r="AC108" s="3">
        <v>184</v>
      </c>
      <c r="AD108" s="3">
        <v>231</v>
      </c>
      <c r="AE108" s="3">
        <v>491</v>
      </c>
    </row>
    <row r="109" spans="2:32" x14ac:dyDescent="0.2">
      <c r="B109" s="3" t="s">
        <v>48</v>
      </c>
      <c r="K109" s="3">
        <v>-318</v>
      </c>
      <c r="L109" s="3">
        <f>-635-K109</f>
        <v>-317</v>
      </c>
      <c r="M109" s="3">
        <f>-949-SUM(K109:L109)</f>
        <v>-314</v>
      </c>
      <c r="N109" s="3">
        <f>-1259-SUM(K109:M109)</f>
        <v>-310</v>
      </c>
      <c r="O109" s="3">
        <v>-339</v>
      </c>
      <c r="P109" s="3">
        <f>-676-O109</f>
        <v>-337</v>
      </c>
      <c r="Q109" s="3">
        <f>-1008-SUM(O109:P109)</f>
        <v>-332</v>
      </c>
      <c r="U109" s="3">
        <v>-187</v>
      </c>
      <c r="V109" s="3">
        <v>-227</v>
      </c>
      <c r="W109" s="3">
        <v>-277</v>
      </c>
      <c r="X109" s="3">
        <v>-426</v>
      </c>
      <c r="Y109" s="3">
        <v>-535</v>
      </c>
      <c r="Z109" s="3">
        <v>-683</v>
      </c>
      <c r="AA109" s="3">
        <v>-679</v>
      </c>
      <c r="AB109" s="3">
        <v>-686</v>
      </c>
      <c r="AC109" s="3">
        <v>-793</v>
      </c>
      <c r="AD109" s="3">
        <v>-1177</v>
      </c>
      <c r="AE109" s="3">
        <v>-1259</v>
      </c>
    </row>
    <row r="110" spans="2:32" x14ac:dyDescent="0.2">
      <c r="B110" s="3" t="s">
        <v>47</v>
      </c>
      <c r="K110" s="3">
        <v>-500</v>
      </c>
      <c r="L110" s="3">
        <f>-1000-K110</f>
        <v>-500</v>
      </c>
      <c r="M110" s="3">
        <f>-2000-SUM(K110:L110)</f>
        <v>-1000</v>
      </c>
      <c r="N110" s="3">
        <f>-2500-SUM(K110:M110)</f>
        <v>-500</v>
      </c>
      <c r="O110" s="3">
        <v>-1000</v>
      </c>
      <c r="P110" s="3">
        <f>-2020-O110</f>
        <v>-1020</v>
      </c>
      <c r="Q110" s="3">
        <f>-2517-SUM(O110:P110)</f>
        <v>-497</v>
      </c>
      <c r="U110" s="3">
        <v>-4857</v>
      </c>
      <c r="V110" s="3">
        <v>-1254</v>
      </c>
      <c r="W110" s="3">
        <v>-2722</v>
      </c>
      <c r="X110" s="3">
        <v>-509</v>
      </c>
      <c r="Y110" s="3">
        <v>-1017</v>
      </c>
      <c r="Z110" s="3">
        <v>-1480</v>
      </c>
      <c r="AA110" s="3">
        <v>-3</v>
      </c>
      <c r="AB110" s="3">
        <v>0</v>
      </c>
      <c r="AC110" s="3">
        <v>-2248</v>
      </c>
      <c r="AD110" s="3">
        <v>-1500</v>
      </c>
      <c r="AE110" s="3">
        <v>-2500</v>
      </c>
    </row>
    <row r="111" spans="2:32" x14ac:dyDescent="0.2">
      <c r="B111" s="3" t="s">
        <v>46</v>
      </c>
      <c r="P111" s="3">
        <v>-6</v>
      </c>
      <c r="Q111" s="3">
        <f>-30-SUM(O111:P111)</f>
        <v>-24</v>
      </c>
    </row>
    <row r="112" spans="2:32" x14ac:dyDescent="0.2">
      <c r="B112" s="3" t="s">
        <v>45</v>
      </c>
      <c r="O112" s="3">
        <f>+SUM(O107:O110)</f>
        <v>-969</v>
      </c>
      <c r="P112" s="3">
        <f>+SUM(P107:P111)</f>
        <v>-1340</v>
      </c>
      <c r="Q112" s="3">
        <f>+SUM(Q107:Q111)</f>
        <v>-863</v>
      </c>
    </row>
    <row r="114" spans="2:31" x14ac:dyDescent="0.2">
      <c r="B114" s="3" t="s">
        <v>44</v>
      </c>
      <c r="O114" s="3">
        <v>26</v>
      </c>
      <c r="P114" s="3">
        <f>-62-O114</f>
        <v>-88</v>
      </c>
      <c r="Q114" s="3">
        <f>-51-SUM(O114:P114)</f>
        <v>11</v>
      </c>
    </row>
    <row r="115" spans="2:31" x14ac:dyDescent="0.2">
      <c r="B115" s="3" t="s">
        <v>43</v>
      </c>
      <c r="O115" s="3">
        <f>+O98+O105+O112+O114</f>
        <v>-558</v>
      </c>
      <c r="P115" s="3">
        <f>+P98+P105+P112+P114</f>
        <v>-914</v>
      </c>
      <c r="Q115" s="3">
        <f>+Q98+Q105+Q112+Q114</f>
        <v>106</v>
      </c>
    </row>
    <row r="117" spans="2:31" s="8" customFormat="1" x14ac:dyDescent="0.2">
      <c r="B117" s="8" t="s">
        <v>42</v>
      </c>
      <c r="K117" s="8">
        <f>+K98+K100</f>
        <v>940</v>
      </c>
      <c r="L117" s="8">
        <f>+L98+L100</f>
        <v>469</v>
      </c>
      <c r="M117" s="8">
        <f>+M98+M100</f>
        <v>231</v>
      </c>
      <c r="N117" s="8">
        <f>+N98+N100</f>
        <v>1496</v>
      </c>
      <c r="O117" s="8">
        <f>+O98+O100</f>
        <v>420</v>
      </c>
      <c r="P117" s="8">
        <f>+P98+P100</f>
        <v>500</v>
      </c>
      <c r="Q117" s="8">
        <f>+Q98+Q100</f>
        <v>1015</v>
      </c>
      <c r="U117" s="8">
        <f>+U98+U100</f>
        <v>731</v>
      </c>
      <c r="V117" s="8">
        <f>+V98+V100</f>
        <v>1019</v>
      </c>
      <c r="W117" s="8">
        <f>+W98+W100</f>
        <v>890</v>
      </c>
      <c r="X117" s="8">
        <f>+X98+X100</f>
        <v>-186</v>
      </c>
      <c r="Y117" s="8">
        <f>+Y98+Y100</f>
        <v>-989</v>
      </c>
      <c r="Z117" s="8">
        <f>+Z98+Z100</f>
        <v>123</v>
      </c>
      <c r="AA117" s="8">
        <f>+AA98+AA100</f>
        <v>-771</v>
      </c>
      <c r="AB117" s="8">
        <f>+AB98+AB100</f>
        <v>4251</v>
      </c>
      <c r="AC117" s="8">
        <f>+AC98+AC100</f>
        <v>3069</v>
      </c>
      <c r="AD117" s="8">
        <f>+AD98+AD100</f>
        <v>2674</v>
      </c>
      <c r="AE117" s="8">
        <f>+AE98+AE100</f>
        <v>3136</v>
      </c>
    </row>
    <row r="118" spans="2:31" s="8" customFormat="1" x14ac:dyDescent="0.2"/>
    <row r="119" spans="2:31" x14ac:dyDescent="0.2">
      <c r="B119" s="3" t="s">
        <v>41</v>
      </c>
      <c r="K119" s="3">
        <v>65</v>
      </c>
      <c r="L119" s="3">
        <v>63</v>
      </c>
      <c r="M119" s="3">
        <v>63</v>
      </c>
      <c r="O119" s="3">
        <v>64</v>
      </c>
      <c r="P119" s="3">
        <v>63</v>
      </c>
      <c r="Q119" s="3">
        <v>63</v>
      </c>
    </row>
    <row r="120" spans="2:31" x14ac:dyDescent="0.2">
      <c r="B120" s="3" t="s">
        <v>40</v>
      </c>
      <c r="M120" s="3">
        <v>91</v>
      </c>
      <c r="Q120" s="3">
        <v>91</v>
      </c>
    </row>
    <row r="121" spans="2:31" s="8" customFormat="1" x14ac:dyDescent="0.2">
      <c r="B121" s="8" t="s">
        <v>39</v>
      </c>
      <c r="K121" s="8">
        <f>+K119*K142</f>
        <v>1057355</v>
      </c>
      <c r="L121" s="8">
        <f>+L119*L142</f>
        <v>1085616</v>
      </c>
      <c r="M121" s="8">
        <f>+M119*M142</f>
        <v>1068228</v>
      </c>
      <c r="O121" s="8">
        <f>+O119*O142</f>
        <v>1038784</v>
      </c>
      <c r="P121" s="8">
        <f>+P119*P142</f>
        <v>1079064</v>
      </c>
      <c r="Q121" s="8">
        <f>+Q119*Q142</f>
        <v>1125621</v>
      </c>
    </row>
    <row r="122" spans="2:31" s="10" customFormat="1" x14ac:dyDescent="0.2">
      <c r="B122" s="10" t="s">
        <v>38</v>
      </c>
    </row>
    <row r="123" spans="2:31" x14ac:dyDescent="0.2">
      <c r="B123" s="3" t="s">
        <v>28</v>
      </c>
      <c r="K123" s="3">
        <v>2673</v>
      </c>
      <c r="L123" s="3">
        <v>2605</v>
      </c>
      <c r="M123" s="3">
        <v>2595</v>
      </c>
      <c r="O123" s="3">
        <v>2591</v>
      </c>
      <c r="P123" s="3">
        <v>2563</v>
      </c>
      <c r="Q123" s="3">
        <v>2646</v>
      </c>
    </row>
    <row r="124" spans="2:31" x14ac:dyDescent="0.2">
      <c r="B124" s="3" t="s">
        <v>27</v>
      </c>
      <c r="K124" s="3">
        <v>1187</v>
      </c>
      <c r="L124" s="3">
        <v>1207</v>
      </c>
      <c r="M124" s="3">
        <v>1316</v>
      </c>
      <c r="O124" s="3">
        <v>1151</v>
      </c>
      <c r="P124" s="3">
        <v>1199</v>
      </c>
      <c r="Q124" s="3">
        <v>1386</v>
      </c>
    </row>
    <row r="125" spans="2:31" x14ac:dyDescent="0.2">
      <c r="B125" s="3" t="s">
        <v>26</v>
      </c>
      <c r="K125" s="3">
        <v>8133</v>
      </c>
      <c r="L125" s="3">
        <v>8309</v>
      </c>
      <c r="M125" s="3">
        <v>8363</v>
      </c>
      <c r="O125" s="3">
        <v>8056</v>
      </c>
      <c r="P125" s="3">
        <v>8256</v>
      </c>
      <c r="Q125" s="3">
        <v>8986</v>
      </c>
    </row>
    <row r="126" spans="2:31" s="8" customFormat="1" x14ac:dyDescent="0.2">
      <c r="B126" s="8" t="s">
        <v>37</v>
      </c>
      <c r="K126" s="8">
        <f>+SUM(K123:K125)</f>
        <v>11993</v>
      </c>
      <c r="L126" s="8">
        <f>+SUM(L123:L125)</f>
        <v>12121</v>
      </c>
      <c r="M126" s="8">
        <f>+SUM(M123:M125)</f>
        <v>12274</v>
      </c>
      <c r="O126" s="8">
        <f>+SUM(O123:O125)</f>
        <v>11798</v>
      </c>
      <c r="P126" s="8">
        <f>+SUM(P123:P125)</f>
        <v>12018</v>
      </c>
      <c r="Q126" s="8">
        <f>+SUM(Q123:Q125)</f>
        <v>13018</v>
      </c>
    </row>
    <row r="127" spans="2:31" x14ac:dyDescent="0.2">
      <c r="B127" s="3" t="s">
        <v>24</v>
      </c>
      <c r="K127" s="3">
        <v>2327</v>
      </c>
      <c r="L127" s="3">
        <v>2390</v>
      </c>
      <c r="M127" s="3">
        <v>2317</v>
      </c>
      <c r="O127" s="3">
        <v>2206</v>
      </c>
      <c r="P127" s="3">
        <v>2231</v>
      </c>
      <c r="Q127" s="3">
        <v>2097</v>
      </c>
    </row>
    <row r="128" spans="2:31" x14ac:dyDescent="0.2">
      <c r="B128" s="3" t="s">
        <v>23</v>
      </c>
      <c r="K128" s="3">
        <v>1117</v>
      </c>
      <c r="L128" s="3">
        <v>1183</v>
      </c>
      <c r="M128" s="3">
        <v>1107</v>
      </c>
      <c r="O128" s="3">
        <v>1360</v>
      </c>
      <c r="P128" s="3">
        <v>1588</v>
      </c>
      <c r="Q128" s="3">
        <v>1465</v>
      </c>
    </row>
    <row r="129" spans="2:18" s="8" customFormat="1" x14ac:dyDescent="0.2">
      <c r="B129" s="8" t="s">
        <v>36</v>
      </c>
      <c r="K129" s="8">
        <f>+SUM(K127:K128)</f>
        <v>3444</v>
      </c>
      <c r="L129" s="8">
        <f>+SUM(L127:L128)</f>
        <v>3573</v>
      </c>
      <c r="M129" s="8">
        <f>+SUM(M127:M128)</f>
        <v>3424</v>
      </c>
      <c r="O129" s="8">
        <f>+SUM(O127:O128)</f>
        <v>3566</v>
      </c>
      <c r="P129" s="8">
        <f>+SUM(P127:P128)</f>
        <v>3819</v>
      </c>
      <c r="Q129" s="8">
        <f>+SUM(Q127:Q128)</f>
        <v>3562</v>
      </c>
    </row>
    <row r="130" spans="2:18" x14ac:dyDescent="0.2">
      <c r="B130" s="3" t="s">
        <v>21</v>
      </c>
      <c r="K130" s="3">
        <v>1140</v>
      </c>
      <c r="L130" s="3">
        <v>1213</v>
      </c>
      <c r="M130" s="3">
        <v>1139</v>
      </c>
      <c r="O130" s="3">
        <v>1112</v>
      </c>
      <c r="P130" s="3">
        <v>1190</v>
      </c>
      <c r="Q130" s="3">
        <v>1078</v>
      </c>
    </row>
    <row r="131" spans="2:18" s="8" customFormat="1" x14ac:dyDescent="0.2">
      <c r="B131" s="8" t="s">
        <v>17</v>
      </c>
      <c r="K131" s="8">
        <f>+K130+K129+K126</f>
        <v>16577</v>
      </c>
      <c r="L131" s="8">
        <f>+L130+L129+L126</f>
        <v>16907</v>
      </c>
      <c r="M131" s="8">
        <f>+M130+M129+M126</f>
        <v>16837</v>
      </c>
      <c r="O131" s="8">
        <f>+O130+O129+O126</f>
        <v>16476</v>
      </c>
      <c r="P131" s="8">
        <f>+P130+P129+P126</f>
        <v>17027</v>
      </c>
      <c r="Q131" s="8">
        <f>+Q130+Q129+Q126</f>
        <v>17658</v>
      </c>
    </row>
    <row r="132" spans="2:18" s="10" customFormat="1" x14ac:dyDescent="0.2">
      <c r="B132" s="10" t="s">
        <v>35</v>
      </c>
    </row>
    <row r="133" spans="2:18" x14ac:dyDescent="0.2">
      <c r="B133" s="3" t="s">
        <v>28</v>
      </c>
      <c r="K133" s="3">
        <v>1680</v>
      </c>
      <c r="L133" s="3">
        <v>1676</v>
      </c>
      <c r="M133" s="3">
        <v>1634</v>
      </c>
      <c r="O133" s="3">
        <v>1600</v>
      </c>
      <c r="P133" s="3">
        <v>1603</v>
      </c>
      <c r="Q133" s="3">
        <v>1588</v>
      </c>
    </row>
    <row r="134" spans="2:18" x14ac:dyDescent="0.2">
      <c r="B134" s="3" t="s">
        <v>27</v>
      </c>
      <c r="K134" s="3">
        <v>970</v>
      </c>
      <c r="L134" s="3">
        <v>1009</v>
      </c>
      <c r="M134" s="3">
        <v>1104</v>
      </c>
      <c r="O134" s="3">
        <v>968</v>
      </c>
      <c r="P134" s="3">
        <v>1014</v>
      </c>
      <c r="Q134" s="3">
        <v>1162</v>
      </c>
    </row>
    <row r="135" spans="2:18" x14ac:dyDescent="0.2">
      <c r="B135" s="3" t="s">
        <v>34</v>
      </c>
      <c r="K135" s="3">
        <v>4287</v>
      </c>
      <c r="L135" s="3">
        <v>4392</v>
      </c>
      <c r="M135" s="3">
        <v>4189</v>
      </c>
      <c r="O135" s="3">
        <v>4289</v>
      </c>
      <c r="P135" s="3">
        <v>4309</v>
      </c>
      <c r="Q135" s="3">
        <v>4181</v>
      </c>
    </row>
    <row r="136" spans="2:18" x14ac:dyDescent="0.2">
      <c r="B136" s="3" t="s">
        <v>33</v>
      </c>
      <c r="K136" s="3">
        <v>6411</v>
      </c>
      <c r="L136" s="3">
        <v>6991</v>
      </c>
      <c r="M136" s="3">
        <v>7090</v>
      </c>
      <c r="O136" s="3">
        <v>6438</v>
      </c>
      <c r="P136" s="3">
        <v>6962</v>
      </c>
      <c r="Q136" s="3">
        <v>7887</v>
      </c>
    </row>
    <row r="137" spans="2:18" s="8" customFormat="1" x14ac:dyDescent="0.2">
      <c r="B137" s="8" t="s">
        <v>32</v>
      </c>
      <c r="K137" s="8">
        <f>+SUM(K133:K136)</f>
        <v>13348</v>
      </c>
      <c r="L137" s="8">
        <f>+SUM(L133:L136)</f>
        <v>14068</v>
      </c>
      <c r="M137" s="8">
        <f>+SUM(M133:M136)</f>
        <v>14017</v>
      </c>
      <c r="O137" s="8">
        <f>+SUM(O133:O136)</f>
        <v>13295</v>
      </c>
      <c r="P137" s="8">
        <f>+SUM(P133:P136)</f>
        <v>13888</v>
      </c>
      <c r="Q137" s="8">
        <f>+SUM(Q133:Q136)</f>
        <v>14818</v>
      </c>
    </row>
    <row r="138" spans="2:18" x14ac:dyDescent="0.2">
      <c r="B138" s="3" t="s">
        <v>24</v>
      </c>
      <c r="K138" s="3">
        <v>658</v>
      </c>
      <c r="L138" s="3">
        <v>673</v>
      </c>
      <c r="M138" s="3">
        <v>663</v>
      </c>
      <c r="O138" s="3">
        <v>622</v>
      </c>
      <c r="P138" s="3">
        <v>594</v>
      </c>
      <c r="Q138" s="3">
        <v>558</v>
      </c>
    </row>
    <row r="139" spans="2:18" x14ac:dyDescent="0.2">
      <c r="B139" s="3" t="s">
        <v>23</v>
      </c>
      <c r="K139" s="3">
        <v>365</v>
      </c>
      <c r="L139" s="3">
        <v>406</v>
      </c>
      <c r="M139" s="3">
        <v>393</v>
      </c>
      <c r="O139" s="3">
        <v>491</v>
      </c>
      <c r="P139" s="3">
        <v>586</v>
      </c>
      <c r="Q139" s="3">
        <v>583</v>
      </c>
    </row>
    <row r="140" spans="2:18" s="8" customFormat="1" x14ac:dyDescent="0.2">
      <c r="B140" s="8" t="s">
        <v>31</v>
      </c>
      <c r="K140" s="8">
        <f>+SUM(K138:K139)</f>
        <v>1023</v>
      </c>
      <c r="L140" s="8">
        <f>+SUM(L138:L139)</f>
        <v>1079</v>
      </c>
      <c r="M140" s="8">
        <f>+SUM(M138:M139)</f>
        <v>1056</v>
      </c>
      <c r="O140" s="8">
        <f>+SUM(O138:O139)</f>
        <v>1113</v>
      </c>
      <c r="P140" s="8">
        <f>+SUM(P138:P139)</f>
        <v>1180</v>
      </c>
      <c r="Q140" s="8">
        <f>+SUM(Q138:Q139)</f>
        <v>1141</v>
      </c>
    </row>
    <row r="141" spans="2:18" x14ac:dyDescent="0.2">
      <c r="B141" s="3" t="s">
        <v>21</v>
      </c>
      <c r="K141" s="3">
        <v>1896</v>
      </c>
      <c r="L141" s="3">
        <v>2085</v>
      </c>
      <c r="M141" s="3">
        <v>1883</v>
      </c>
      <c r="O141" s="3">
        <v>1823</v>
      </c>
      <c r="P141" s="3">
        <v>2060</v>
      </c>
      <c r="Q141" s="3">
        <v>1908</v>
      </c>
    </row>
    <row r="142" spans="2:18" s="8" customFormat="1" x14ac:dyDescent="0.2">
      <c r="B142" s="8" t="s">
        <v>30</v>
      </c>
      <c r="K142" s="8">
        <f>+K141+K140+K137</f>
        <v>16267</v>
      </c>
      <c r="L142" s="8">
        <f>+L141+L140+L137</f>
        <v>17232</v>
      </c>
      <c r="M142" s="8">
        <f>+M141+M140+M137</f>
        <v>16956</v>
      </c>
      <c r="O142" s="8">
        <f>+O141+O140+O137</f>
        <v>16231</v>
      </c>
      <c r="P142" s="8">
        <f>+P141+P140+P137</f>
        <v>17128</v>
      </c>
      <c r="Q142" s="8">
        <f>+Q141+Q140+Q137</f>
        <v>17867</v>
      </c>
    </row>
    <row r="143" spans="2:18" s="10" customFormat="1" x14ac:dyDescent="0.2">
      <c r="B143" s="10" t="s">
        <v>29</v>
      </c>
    </row>
    <row r="144" spans="2:18" x14ac:dyDescent="0.2">
      <c r="B144" s="3" t="s">
        <v>28</v>
      </c>
      <c r="K144" s="2">
        <f>+(K123/K$119)/K133*1000</f>
        <v>24.478021978021978</v>
      </c>
      <c r="L144" s="2">
        <f>+(L123/L$119)/L133*1000</f>
        <v>24.67136417017085</v>
      </c>
      <c r="M144" s="2">
        <f>+(M123/M$119)/M133*1000</f>
        <v>25.208369761613337</v>
      </c>
      <c r="O144" s="2">
        <f>+(O123/O$119)/O133*1000</f>
        <v>25.302734375</v>
      </c>
      <c r="P144" s="2">
        <f>+(P123/P$119)/P133*1000</f>
        <v>25.379001673449586</v>
      </c>
      <c r="Q144" s="2">
        <f>+(Q123/Q$119)/Q133*1000</f>
        <v>26.448362720403022</v>
      </c>
      <c r="R144" s="2"/>
    </row>
    <row r="145" spans="2:17" x14ac:dyDescent="0.2">
      <c r="B145" s="3" t="s">
        <v>27</v>
      </c>
      <c r="K145" s="2">
        <f>+(K124/K$119)/K134*1000</f>
        <v>18.826328310864394</v>
      </c>
      <c r="L145" s="2">
        <f>+(L124/L$119)/L134*1000</f>
        <v>18.987839602309375</v>
      </c>
      <c r="M145" s="2">
        <f>+(M124/M$119)/M134*1000</f>
        <v>18.92109500805153</v>
      </c>
      <c r="O145" s="2">
        <f>+(O124/O$119)/O134*1000</f>
        <v>18.57889979338843</v>
      </c>
      <c r="P145" s="2">
        <f>+(P124/P$119)/P134*1000</f>
        <v>18.768980307441847</v>
      </c>
      <c r="Q145" s="2">
        <f>+(Q124/$Q$119)/Q134*1000</f>
        <v>18.9328743545611</v>
      </c>
    </row>
    <row r="146" spans="2:17" x14ac:dyDescent="0.2">
      <c r="B146" s="3" t="s">
        <v>26</v>
      </c>
      <c r="K146" s="2">
        <f>+(K125/K$119)/(K135+K136)*1000</f>
        <v>11.695931662280513</v>
      </c>
      <c r="L146" s="2">
        <f>+(L125/L$119)/(L135+L136)*1000</f>
        <v>11.586478862240963</v>
      </c>
      <c r="M146" s="2">
        <f>+(M125/M$119)/(M135+M136)*1000</f>
        <v>11.769308604134388</v>
      </c>
      <c r="O146" s="2">
        <f>+(O125/O$119)/(O135+O136)*1000</f>
        <v>11.734408501911064</v>
      </c>
      <c r="P146" s="2">
        <f>+(P125/P$119)/(P135+P136)*1000</f>
        <v>11.626973564689827</v>
      </c>
      <c r="Q146" s="2">
        <f>+(Q125/Q$119)/(Q135+Q136)*1000</f>
        <v>11.819267536867802</v>
      </c>
    </row>
    <row r="147" spans="2:17" s="8" customFormat="1" x14ac:dyDescent="0.2">
      <c r="B147" s="8" t="s">
        <v>25</v>
      </c>
      <c r="K147" s="9">
        <f>+(K126/K$119)/K137*1000</f>
        <v>13.822871764136373</v>
      </c>
      <c r="L147" s="9">
        <f>+(L126/L$119)/L137*1000</f>
        <v>13.6762031132233</v>
      </c>
      <c r="M147" s="9">
        <f>+(M126/M$119)/M137*1000</f>
        <v>13.899222146350635</v>
      </c>
      <c r="O147" s="9">
        <f>+(O126/O$119)/O137*1000</f>
        <v>13.865644979315531</v>
      </c>
      <c r="P147" s="9">
        <f>+(P126/P$119)/P137*1000</f>
        <v>13.735736229975862</v>
      </c>
      <c r="Q147" s="9">
        <f>+(Q126/Q$119)/Q137*1000</f>
        <v>13.944858998172535</v>
      </c>
    </row>
    <row r="148" spans="2:17" x14ac:dyDescent="0.2">
      <c r="B148" s="3" t="s">
        <v>24</v>
      </c>
      <c r="K148" s="2">
        <f>+(K127/K$119)/K138*1000</f>
        <v>54.407294832826743</v>
      </c>
      <c r="L148" s="2">
        <f>+(L127/L$119)/L138*1000</f>
        <v>56.369253991839429</v>
      </c>
      <c r="M148" s="2">
        <f>+(M127/Q$119)/M138*1000</f>
        <v>55.471761354114292</v>
      </c>
      <c r="O148" s="2">
        <f>+(O127/O$119)/O138*1000</f>
        <v>55.415996784565912</v>
      </c>
      <c r="P148" s="2">
        <f>+(P127/P$119)/P138*1000</f>
        <v>59.617337395115172</v>
      </c>
      <c r="Q148" s="2">
        <f>+(Q127/Q$119)/Q138*1000</f>
        <v>59.651817716333845</v>
      </c>
    </row>
    <row r="149" spans="2:17" x14ac:dyDescent="0.2">
      <c r="B149" s="3" t="s">
        <v>23</v>
      </c>
      <c r="K149" s="2">
        <f>+(K128/K$119)/K139*1000</f>
        <v>47.081138040042141</v>
      </c>
      <c r="L149" s="2">
        <f>+(L128/L$119)/L139*1000</f>
        <v>46.250684181718668</v>
      </c>
      <c r="M149" s="2">
        <f>+(M128/M$119)/M139*1000</f>
        <v>44.711014176663042</v>
      </c>
      <c r="O149" s="2">
        <f>+(O128/O$119)/O139*1000</f>
        <v>43.279022403258658</v>
      </c>
      <c r="P149" s="2">
        <f>+(P128/P$119)/P139*1000</f>
        <v>43.014247792404788</v>
      </c>
      <c r="Q149" s="2">
        <f>+(Q128/Q$119)/Q139*1000</f>
        <v>39.886737999945545</v>
      </c>
    </row>
    <row r="150" spans="2:17" s="8" customFormat="1" x14ac:dyDescent="0.2">
      <c r="B150" s="8" t="s">
        <v>22</v>
      </c>
      <c r="K150" s="9">
        <f>+(K129/K$119)/K140*1000</f>
        <v>51.793367922400179</v>
      </c>
      <c r="L150" s="9">
        <f>+(L129/L$119)/L140*1000</f>
        <v>52.561895935389913</v>
      </c>
      <c r="M150" s="9">
        <f>+(M129/M$119)/M140*1000</f>
        <v>51.467051467051469</v>
      </c>
      <c r="O150" s="9">
        <f>+(O129/O$119)/O140*1000</f>
        <v>50.061769991015275</v>
      </c>
      <c r="P150" s="9">
        <f>+(P129/P$119)/P140*1000</f>
        <v>51.372074253430192</v>
      </c>
      <c r="Q150" s="9">
        <f>+(Q129/Q$119)/Q140*1000</f>
        <v>49.552745433551742</v>
      </c>
    </row>
    <row r="151" spans="2:17" x14ac:dyDescent="0.2">
      <c r="B151" s="3" t="s">
        <v>21</v>
      </c>
      <c r="K151" s="2">
        <f>+(K130/K$119)/K141*1000</f>
        <v>9.2502434274586189</v>
      </c>
      <c r="L151" s="2">
        <f>+(L130/L$119)/L141*1000</f>
        <v>9.2345171481862121</v>
      </c>
      <c r="M151" s="2">
        <f>+(M130/M$119)/M141*1000</f>
        <v>9.6013622301460853</v>
      </c>
      <c r="O151" s="2">
        <f>+(O130/O$119)/O141*1000</f>
        <v>9.530992868897421</v>
      </c>
      <c r="P151" s="2">
        <f>+(P130/P$119)/P141*1000</f>
        <v>9.1693635382955776</v>
      </c>
      <c r="Q151" s="2">
        <f>+(Q130/Q$119)/Q141*1000</f>
        <v>8.968087584439786</v>
      </c>
    </row>
    <row r="152" spans="2:17" s="8" customFormat="1" x14ac:dyDescent="0.2">
      <c r="B152" s="8" t="s">
        <v>20</v>
      </c>
      <c r="K152" s="9">
        <f>+(K131/K$119)/K142*1000</f>
        <v>15.677799792879403</v>
      </c>
      <c r="L152" s="9">
        <f>+(L131/L$119)/L142*1000</f>
        <v>15.573646666961428</v>
      </c>
      <c r="M152" s="9">
        <f>+(M131/M$119)/M142*1000</f>
        <v>15.761616433944813</v>
      </c>
      <c r="O152" s="9">
        <f>+(O131/O$119)/O142*1000</f>
        <v>15.860852689298255</v>
      </c>
      <c r="P152" s="9">
        <f>+(P131/P$119)/P142*1000</f>
        <v>15.779416234810911</v>
      </c>
      <c r="Q152" s="9">
        <f>+(Q131/Q$119)/Q142*1000</f>
        <v>15.687340587995427</v>
      </c>
    </row>
    <row r="153" spans="2:17" x14ac:dyDescent="0.2">
      <c r="Q153" s="2"/>
    </row>
    <row r="154" spans="2:17" s="7" customFormat="1" x14ac:dyDescent="0.2">
      <c r="B154" s="7" t="s">
        <v>19</v>
      </c>
      <c r="O154" s="7">
        <f>+O126/K126-1</f>
        <v>-1.6259484699407967E-2</v>
      </c>
      <c r="P154" s="7">
        <f>+P126/L126-1</f>
        <v>-8.49764870885239E-3</v>
      </c>
      <c r="Q154" s="7">
        <f>+Q126/M126-1</f>
        <v>6.06159361251426E-2</v>
      </c>
    </row>
    <row r="155" spans="2:17" s="7" customFormat="1" x14ac:dyDescent="0.2">
      <c r="B155" s="7" t="s">
        <v>18</v>
      </c>
      <c r="O155" s="7">
        <f>+O129/K129-1</f>
        <v>3.5423925667828149E-2</v>
      </c>
      <c r="P155" s="7">
        <f>+P129/L129-1</f>
        <v>6.884970612930319E-2</v>
      </c>
      <c r="Q155" s="7">
        <f>+Q129/M129-1</f>
        <v>4.030373831775691E-2</v>
      </c>
    </row>
    <row r="156" spans="2:17" s="7" customFormat="1" x14ac:dyDescent="0.2">
      <c r="B156" s="7" t="s">
        <v>17</v>
      </c>
      <c r="O156" s="7">
        <f>+O131/K131-1</f>
        <v>-6.0927791518369245E-3</v>
      </c>
      <c r="P156" s="7">
        <f>+P131/L131-1</f>
        <v>7.0976518601761907E-3</v>
      </c>
      <c r="Q156" s="7">
        <f>+Q131/M131-1</f>
        <v>4.8761655876937704E-2</v>
      </c>
    </row>
    <row r="158" spans="2:17" s="7" customFormat="1" x14ac:dyDescent="0.2">
      <c r="B158" s="7" t="s">
        <v>16</v>
      </c>
      <c r="O158" s="7">
        <f>+O137/K137-1</f>
        <v>-3.9706323044650382E-3</v>
      </c>
      <c r="P158" s="7">
        <f>+P137/L137-1</f>
        <v>-1.2794995735001424E-2</v>
      </c>
      <c r="Q158" s="7">
        <f>+Q137/M137-1</f>
        <v>5.7144895484054992E-2</v>
      </c>
    </row>
    <row r="159" spans="2:17" s="7" customFormat="1" x14ac:dyDescent="0.2">
      <c r="B159" s="7" t="s">
        <v>15</v>
      </c>
      <c r="O159" s="7">
        <f>+O140/K140-1</f>
        <v>8.7976539589442737E-2</v>
      </c>
      <c r="P159" s="7">
        <f>+P140/L140-1</f>
        <v>9.3605189990732196E-2</v>
      </c>
      <c r="Q159" s="7">
        <f>+Q140/M140-1</f>
        <v>8.049242424242431E-2</v>
      </c>
    </row>
    <row r="160" spans="2:17" s="7" customFormat="1" x14ac:dyDescent="0.2">
      <c r="B160" s="7" t="s">
        <v>14</v>
      </c>
      <c r="O160" s="7">
        <f>+O142/K142-1</f>
        <v>-2.2130694043155374E-3</v>
      </c>
      <c r="P160" s="7">
        <f>+P142/L142-1</f>
        <v>-6.0352831940575502E-3</v>
      </c>
      <c r="Q160" s="7">
        <f>+Q142/M142-1</f>
        <v>5.3727294173154139E-2</v>
      </c>
    </row>
  </sheetData>
  <hyperlinks>
    <hyperlink ref="A1" location="Main!A1" display="Main" xr:uid="{1D33068D-BB9E-439E-871B-537A44AD27BB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2025-04-09T15:20:08Z</dcterms:created>
  <dcterms:modified xsi:type="dcterms:W3CDTF">2025-04-09T15:21:44Z</dcterms:modified>
</cp:coreProperties>
</file>