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B9E6CDF4-B4F3-48F5-B0C7-A181DB330FFB}" xr6:coauthVersionLast="47" xr6:coauthVersionMax="47" xr10:uidLastSave="{00000000-0000-0000-0000-000000000000}"/>
  <bookViews>
    <workbookView xWindow="1125" yWindow="390" windowWidth="14415" windowHeight="15300" activeTab="1" xr2:uid="{18F1E7B9-BEBE-4D29-A283-6C1C35447F7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2" l="1"/>
  <c r="J85" i="2"/>
  <c r="I65" i="2"/>
  <c r="G81" i="2"/>
  <c r="H81" i="2" s="1"/>
  <c r="J79" i="2"/>
  <c r="G78" i="2"/>
  <c r="H78" i="2" s="1"/>
  <c r="I78" i="2" s="1"/>
  <c r="G77" i="2"/>
  <c r="H77" i="2" s="1"/>
  <c r="I77" i="2" s="1"/>
  <c r="G76" i="2"/>
  <c r="H76" i="2" s="1"/>
  <c r="I76" i="2" s="1"/>
  <c r="G75" i="2"/>
  <c r="G72" i="2"/>
  <c r="H72" i="2" s="1"/>
  <c r="I72" i="2" s="1"/>
  <c r="G71" i="2"/>
  <c r="G66" i="2"/>
  <c r="H66" i="2" s="1"/>
  <c r="G64" i="2"/>
  <c r="H64" i="2" s="1"/>
  <c r="G63" i="2"/>
  <c r="H63" i="2" s="1"/>
  <c r="I63" i="2" s="1"/>
  <c r="G62" i="2"/>
  <c r="H62" i="2" s="1"/>
  <c r="I62" i="2" s="1"/>
  <c r="G61" i="2"/>
  <c r="H61" i="2" s="1"/>
  <c r="I61" i="2" s="1"/>
  <c r="G60" i="2"/>
  <c r="H60" i="2" s="1"/>
  <c r="I60" i="2" s="1"/>
  <c r="F79" i="2"/>
  <c r="F70" i="2"/>
  <c r="G70" i="2" s="1"/>
  <c r="F67" i="2"/>
  <c r="F68" i="2" s="1"/>
  <c r="J70" i="2"/>
  <c r="J73" i="2" s="1"/>
  <c r="J67" i="2"/>
  <c r="J68" i="2" s="1"/>
  <c r="F51" i="2"/>
  <c r="F55" i="2" s="1"/>
  <c r="F47" i="2"/>
  <c r="F40" i="2"/>
  <c r="G51" i="2"/>
  <c r="G55" i="2" s="1"/>
  <c r="G47" i="2"/>
  <c r="G40" i="2"/>
  <c r="H51" i="2"/>
  <c r="H55" i="2" s="1"/>
  <c r="H47" i="2"/>
  <c r="H40" i="2"/>
  <c r="I51" i="2"/>
  <c r="I55" i="2" s="1"/>
  <c r="I47" i="2"/>
  <c r="J47" i="2"/>
  <c r="G48" i="2" l="1"/>
  <c r="G56" i="2" s="1"/>
  <c r="G57" i="2" s="1"/>
  <c r="G67" i="2"/>
  <c r="H67" i="2" s="1"/>
  <c r="I67" i="2" s="1"/>
  <c r="H70" i="2"/>
  <c r="I70" i="2" s="1"/>
  <c r="I64" i="2"/>
  <c r="I81" i="2"/>
  <c r="H48" i="2"/>
  <c r="H56" i="2" s="1"/>
  <c r="H57" i="2" s="1"/>
  <c r="H71" i="2"/>
  <c r="I71" i="2" s="1"/>
  <c r="G79" i="2"/>
  <c r="H75" i="2"/>
  <c r="G73" i="2"/>
  <c r="I66" i="2"/>
  <c r="F48" i="2"/>
  <c r="F56" i="2" s="1"/>
  <c r="F57" i="2" s="1"/>
  <c r="J87" i="2"/>
  <c r="J84" i="2"/>
  <c r="J82" i="2"/>
  <c r="F87" i="2"/>
  <c r="F84" i="2"/>
  <c r="F73" i="2"/>
  <c r="F82" i="2" s="1"/>
  <c r="I40" i="2"/>
  <c r="I48" i="2" s="1"/>
  <c r="I56" i="2" s="1"/>
  <c r="I57" i="2" s="1"/>
  <c r="G68" i="2" l="1"/>
  <c r="G84" i="2" s="1"/>
  <c r="I73" i="2"/>
  <c r="H73" i="2"/>
  <c r="I68" i="2"/>
  <c r="H68" i="2"/>
  <c r="H79" i="2"/>
  <c r="I75" i="2"/>
  <c r="I79" i="2" s="1"/>
  <c r="J51" i="2"/>
  <c r="J55" i="2" s="1"/>
  <c r="J40" i="2"/>
  <c r="J48" i="2" s="1"/>
  <c r="J10" i="1"/>
  <c r="J9" i="1"/>
  <c r="P37" i="2"/>
  <c r="P36" i="2"/>
  <c r="P35" i="2"/>
  <c r="O20" i="2"/>
  <c r="O14" i="2"/>
  <c r="O16" i="2" s="1"/>
  <c r="P20" i="2"/>
  <c r="P14" i="2"/>
  <c r="P16" i="2" s="1"/>
  <c r="R24" i="2"/>
  <c r="R22" i="2"/>
  <c r="R19" i="2"/>
  <c r="R18" i="2"/>
  <c r="R17" i="2"/>
  <c r="R15" i="2"/>
  <c r="R13" i="2"/>
  <c r="R12" i="2"/>
  <c r="R27" i="2"/>
  <c r="Q27" i="2"/>
  <c r="Q24" i="2"/>
  <c r="Q22" i="2"/>
  <c r="Q19" i="2"/>
  <c r="Q37" i="2" s="1"/>
  <c r="Q18" i="2"/>
  <c r="Q36" i="2" s="1"/>
  <c r="Q17" i="2"/>
  <c r="Q15" i="2"/>
  <c r="Q13" i="2"/>
  <c r="Q12" i="2"/>
  <c r="I37" i="2"/>
  <c r="H37" i="2"/>
  <c r="G37" i="2"/>
  <c r="F37" i="2"/>
  <c r="I36" i="2"/>
  <c r="H36" i="2"/>
  <c r="G36" i="2"/>
  <c r="F36" i="2"/>
  <c r="I35" i="2"/>
  <c r="H35" i="2"/>
  <c r="G35" i="2"/>
  <c r="F35" i="2"/>
  <c r="J37" i="2"/>
  <c r="J36" i="2"/>
  <c r="J35" i="2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B20" i="2"/>
  <c r="B14" i="2"/>
  <c r="B16" i="2" s="1"/>
  <c r="C20" i="2"/>
  <c r="C14" i="2"/>
  <c r="C16" i="2" s="1"/>
  <c r="G20" i="2"/>
  <c r="G14" i="2"/>
  <c r="D20" i="2"/>
  <c r="D14" i="2"/>
  <c r="D16" i="2" s="1"/>
  <c r="H20" i="2"/>
  <c r="H14" i="2"/>
  <c r="H16" i="2" s="1"/>
  <c r="E20" i="2"/>
  <c r="E14" i="2"/>
  <c r="E16" i="2" s="1"/>
  <c r="F20" i="2"/>
  <c r="F14" i="2"/>
  <c r="F16" i="2" s="1"/>
  <c r="I20" i="2"/>
  <c r="I14" i="2"/>
  <c r="I16" i="2" s="1"/>
  <c r="J20" i="2"/>
  <c r="J14" i="2"/>
  <c r="J16" i="2" s="1"/>
  <c r="J8" i="1"/>
  <c r="J6" i="1"/>
  <c r="J5" i="1"/>
  <c r="Q20" i="2" l="1"/>
  <c r="G87" i="2"/>
  <c r="G82" i="2"/>
  <c r="I74" i="2"/>
  <c r="R37" i="2"/>
  <c r="H82" i="2"/>
  <c r="H87" i="2"/>
  <c r="H84" i="2"/>
  <c r="Q14" i="2"/>
  <c r="Q16" i="2" s="1"/>
  <c r="Q29" i="2" s="1"/>
  <c r="I87" i="2"/>
  <c r="I84" i="2"/>
  <c r="I82" i="2"/>
  <c r="Q35" i="2"/>
  <c r="R35" i="2"/>
  <c r="R20" i="2"/>
  <c r="I34" i="2"/>
  <c r="J34" i="2"/>
  <c r="H34" i="2"/>
  <c r="J56" i="2"/>
  <c r="J57" i="2" s="1"/>
  <c r="R36" i="2"/>
  <c r="P34" i="2"/>
  <c r="O21" i="2"/>
  <c r="O29" i="2"/>
  <c r="Q34" i="2"/>
  <c r="P21" i="2"/>
  <c r="P29" i="2"/>
  <c r="R14" i="2"/>
  <c r="F34" i="2"/>
  <c r="B21" i="2"/>
  <c r="B29" i="2"/>
  <c r="G34" i="2"/>
  <c r="C29" i="2"/>
  <c r="C21" i="2"/>
  <c r="G16" i="2"/>
  <c r="D21" i="2"/>
  <c r="D29" i="2"/>
  <c r="H29" i="2"/>
  <c r="H21" i="2"/>
  <c r="J29" i="2"/>
  <c r="J21" i="2"/>
  <c r="E29" i="2"/>
  <c r="E21" i="2"/>
  <c r="F29" i="2"/>
  <c r="F21" i="2"/>
  <c r="I21" i="2"/>
  <c r="I29" i="2"/>
  <c r="R34" i="2" l="1"/>
  <c r="Q21" i="2"/>
  <c r="O23" i="2"/>
  <c r="O30" i="2"/>
  <c r="P30" i="2"/>
  <c r="P23" i="2"/>
  <c r="R16" i="2"/>
  <c r="R21" i="2" s="1"/>
  <c r="R30" i="2" s="1"/>
  <c r="B30" i="2"/>
  <c r="B23" i="2"/>
  <c r="C30" i="2"/>
  <c r="C23" i="2"/>
  <c r="G29" i="2"/>
  <c r="G21" i="2"/>
  <c r="D30" i="2"/>
  <c r="D23" i="2"/>
  <c r="H30" i="2"/>
  <c r="H23" i="2"/>
  <c r="J23" i="2"/>
  <c r="J30" i="2"/>
  <c r="E23" i="2"/>
  <c r="E30" i="2"/>
  <c r="F30" i="2"/>
  <c r="F23" i="2"/>
  <c r="I30" i="2"/>
  <c r="I23" i="2"/>
  <c r="R23" i="2" l="1"/>
  <c r="R25" i="2" s="1"/>
  <c r="Q23" i="2"/>
  <c r="Q30" i="2"/>
  <c r="O32" i="2"/>
  <c r="O25" i="2"/>
  <c r="P25" i="2"/>
  <c r="P32" i="2"/>
  <c r="R29" i="2"/>
  <c r="B32" i="2"/>
  <c r="B25" i="2"/>
  <c r="C25" i="2"/>
  <c r="C32" i="2"/>
  <c r="G30" i="2"/>
  <c r="G23" i="2"/>
  <c r="D32" i="2"/>
  <c r="D25" i="2"/>
  <c r="H32" i="2"/>
  <c r="H25" i="2"/>
  <c r="H59" i="2" s="1"/>
  <c r="J32" i="2"/>
  <c r="J25" i="2"/>
  <c r="J59" i="2" s="1"/>
  <c r="E25" i="2"/>
  <c r="E32" i="2"/>
  <c r="F32" i="2"/>
  <c r="F25" i="2"/>
  <c r="F59" i="2" s="1"/>
  <c r="I32" i="2"/>
  <c r="I25" i="2"/>
  <c r="I59" i="2" s="1"/>
  <c r="R32" i="2" l="1"/>
  <c r="Q25" i="2"/>
  <c r="Q32" i="2"/>
  <c r="O31" i="2"/>
  <c r="O26" i="2"/>
  <c r="P31" i="2"/>
  <c r="P26" i="2"/>
  <c r="R26" i="2"/>
  <c r="R31" i="2"/>
  <c r="B31" i="2"/>
  <c r="B26" i="2"/>
  <c r="C26" i="2"/>
  <c r="C31" i="2"/>
  <c r="G32" i="2"/>
  <c r="G25" i="2"/>
  <c r="G59" i="2" s="1"/>
  <c r="D31" i="2"/>
  <c r="D26" i="2"/>
  <c r="H26" i="2"/>
  <c r="H31" i="2"/>
  <c r="J26" i="2"/>
  <c r="J31" i="2"/>
  <c r="E26" i="2"/>
  <c r="E31" i="2"/>
  <c r="F31" i="2"/>
  <c r="F26" i="2"/>
  <c r="I31" i="2"/>
  <c r="I26" i="2"/>
  <c r="Q31" i="2" l="1"/>
  <c r="Q26" i="2"/>
  <c r="G31" i="2"/>
  <c r="G26" i="2"/>
</calcChain>
</file>

<file path=xl/sharedStrings.xml><?xml version="1.0" encoding="utf-8"?>
<sst xmlns="http://schemas.openxmlformats.org/spreadsheetml/2006/main" count="112" uniqueCount="96">
  <si>
    <t>F5</t>
  </si>
  <si>
    <t>(FFIV)</t>
  </si>
  <si>
    <t>(in millions)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</si>
  <si>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</si>
  <si>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</si>
  <si>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</si>
  <si>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</si>
  <si>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</si>
  <si>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</si>
  <si>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</si>
  <si>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</si>
  <si>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</si>
  <si>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</si>
  <si>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</si>
  <si>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</si>
  <si>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</si>
  <si>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</si>
  <si>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Products</t>
  </si>
  <si>
    <t>Services</t>
  </si>
  <si>
    <t>Revenue</t>
  </si>
  <si>
    <t>COGS</t>
  </si>
  <si>
    <t>Gross profit</t>
  </si>
  <si>
    <t>S&amp;M</t>
  </si>
  <si>
    <t>R&amp;D</t>
  </si>
  <si>
    <t>G&amp;A</t>
  </si>
  <si>
    <t>Operating expense</t>
  </si>
  <si>
    <t>Operating income</t>
  </si>
  <si>
    <t>Interest income</t>
  </si>
  <si>
    <t>Pretax income</t>
  </si>
  <si>
    <t xml:space="preserve">Taxes </t>
  </si>
  <si>
    <t>Net income</t>
  </si>
  <si>
    <t>EPS</t>
  </si>
  <si>
    <t>Gross margin</t>
  </si>
  <si>
    <t>Operating margin</t>
  </si>
  <si>
    <t>Net margin</t>
  </si>
  <si>
    <t>Tax rate</t>
  </si>
  <si>
    <t>Annual</t>
  </si>
  <si>
    <t>Q124</t>
  </si>
  <si>
    <t xml:space="preserve">Revenue y/y </t>
  </si>
  <si>
    <t>Q224</t>
  </si>
  <si>
    <t>Q324</t>
  </si>
  <si>
    <t>Q424</t>
  </si>
  <si>
    <t>S&amp;M y/y</t>
  </si>
  <si>
    <t>R&amp;D y/y</t>
  </si>
  <si>
    <t>G&amp;A y/y</t>
  </si>
  <si>
    <t>Net cash</t>
  </si>
  <si>
    <t>Total assets</t>
  </si>
  <si>
    <t>Total libilities</t>
  </si>
  <si>
    <t>S/E</t>
  </si>
  <si>
    <t>L+S/E</t>
  </si>
  <si>
    <t>Other</t>
  </si>
  <si>
    <t>Lease</t>
  </si>
  <si>
    <t>DT</t>
  </si>
  <si>
    <t>D/R</t>
  </si>
  <si>
    <t>A/P</t>
  </si>
  <si>
    <t>Accrued libilities</t>
  </si>
  <si>
    <t>Goodwill</t>
  </si>
  <si>
    <t>PP&amp;E</t>
  </si>
  <si>
    <t>Inventories</t>
  </si>
  <si>
    <t>A/R</t>
  </si>
  <si>
    <t>Investments</t>
  </si>
  <si>
    <t>Model IN</t>
  </si>
  <si>
    <t>Reported IN</t>
  </si>
  <si>
    <t>D&amp;A</t>
  </si>
  <si>
    <t>SBC</t>
  </si>
  <si>
    <t>Working capital</t>
  </si>
  <si>
    <t>CFFO</t>
  </si>
  <si>
    <t>CapEx</t>
  </si>
  <si>
    <t>Acqusitions</t>
  </si>
  <si>
    <t>CFFI</t>
  </si>
  <si>
    <t>Stock options</t>
  </si>
  <si>
    <t>Buybacks</t>
  </si>
  <si>
    <t>Taxes</t>
  </si>
  <si>
    <t>CFFF</t>
  </si>
  <si>
    <t>FX</t>
  </si>
  <si>
    <t>CIC</t>
  </si>
  <si>
    <t>CFFO+CapEx-SBC</t>
  </si>
  <si>
    <t>Impairment</t>
  </si>
  <si>
    <t>United states</t>
  </si>
  <si>
    <t>EMEA</t>
  </si>
  <si>
    <t>Asia Pacific</t>
  </si>
  <si>
    <t>Systems revenue</t>
  </si>
  <si>
    <t>Software revenue</t>
  </si>
  <si>
    <t>Distributors of the Company's products</t>
  </si>
  <si>
    <t xml:space="preserve">Ingram Micro </t>
  </si>
  <si>
    <t>Synnex Corporation</t>
  </si>
  <si>
    <t>accounted for more than 10% of total net revenue</t>
  </si>
  <si>
    <t>accounted for more than 10% of total receivables</t>
  </si>
  <si>
    <t>Ingram Micro</t>
  </si>
  <si>
    <t>Caragsoft Technology Corporation</t>
  </si>
  <si>
    <t>F5 Distributed Cloud Services</t>
  </si>
  <si>
    <t>F5 NGINX</t>
  </si>
  <si>
    <t>F5 BIG-IP</t>
  </si>
  <si>
    <t>Product portfolio: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</si>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</sst>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9" fontId="1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38100</xdr:rowOff>
    </xdr:from>
    <xdr:to>
      <xdr:col>18</xdr:col>
      <xdr:colOff>28575</xdr:colOff>
      <xdr:row>50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B8F9BFB-BFF0-3964-1DE1-B03780900F62}"/>
            </a:ext>
          </a:extLst>
        </xdr:cNvPr>
        <xdr:cNvCxnSpPr/>
      </xdr:nvCxnSpPr>
      <xdr:spPr>
        <a:xfrm>
          <a:off x="12087225" y="38100"/>
          <a:ext cx="9525" cy="7343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0</xdr:row>
      <xdr:rowOff>28575</xdr:rowOff>
    </xdr:from>
    <xdr:to>
      <xdr:col>10</xdr:col>
      <xdr:colOff>28575</xdr:colOff>
      <xdr:row>50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648852B-680B-4910-9361-0B8C2B370263}"/>
            </a:ext>
          </a:extLst>
        </xdr:cNvPr>
        <xdr:cNvCxnSpPr/>
      </xdr:nvCxnSpPr>
      <xdr:spPr>
        <a:xfrm>
          <a:off x="7210425" y="28575"/>
          <a:ext cx="9525" cy="7343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D5BD-4AF0-48AB-8C4E-00D498CF5696}">
  <dimension ref="A1:J22"/>
  <sheetViews>
    <sheetView workbookViewId="0">
      <selection activeCell="J20" sqref="J20"/>
    </sheetView>
  </sheetViews>
  <sheetFormatPr defaultRowHeight="12.75" x14ac:dyDescent="0.2"/>
  <cols>
    <col min="1" max="1" width="10.42578125" bestFit="1" customWidth="1"/>
  </cols>
  <sheetData>
    <row r="1" spans="1:10" ht="34.5" x14ac:dyDescent="0.45">
      <c r="A1" s="1" t="s">
        <v>0</v>
      </c>
    </row>
    <row r="2" spans="1:10" x14ac:dyDescent="0.2">
      <c r="A2" t="s">
        <v>1</v>
      </c>
      <c r="C2" s="14" t="s">
        <v>93</v>
      </c>
      <c r="D2" s="14"/>
    </row>
    <row r="3" spans="1:10" x14ac:dyDescent="0.2">
      <c r="A3" t="s">
        <v>2</v>
      </c>
      <c r="C3" s="14" t="s">
        <v>90</v>
      </c>
      <c r="D3" s="14"/>
      <c r="E3" s="14"/>
      <c r="I3" t="s">
        <v>3</v>
      </c>
      <c r="J3" s="2">
        <v>190</v>
      </c>
    </row>
    <row r="4" spans="1:10" x14ac:dyDescent="0.2">
      <c r="C4" t="s">
        <v>91</v>
      </c>
      <c r="I4" t="s">
        <v>4</v>
      </c>
      <c r="J4" s="2">
        <v>58.806232000000001</v>
      </c>
    </row>
    <row r="5" spans="1:10" x14ac:dyDescent="0.2">
      <c r="C5" t="s">
        <v>92</v>
      </c>
      <c r="I5" t="s">
        <v>5</v>
      </c>
      <c r="J5" s="2">
        <f>+J4*J3</f>
        <v>11173.184080000001</v>
      </c>
    </row>
    <row r="6" spans="1:10" x14ac:dyDescent="0.2">
      <c r="I6" t="s">
        <v>6</v>
      </c>
      <c r="J6" s="2">
        <f>822.572+3.287+6.17</f>
        <v>832.029</v>
      </c>
    </row>
    <row r="7" spans="1:10" x14ac:dyDescent="0.2">
      <c r="I7" t="s">
        <v>7</v>
      </c>
      <c r="J7" s="2">
        <v>0</v>
      </c>
    </row>
    <row r="8" spans="1:10" x14ac:dyDescent="0.2">
      <c r="I8" t="s">
        <v>8</v>
      </c>
      <c r="J8" s="2">
        <f>+J5-J6+J7</f>
        <v>10341.15508</v>
      </c>
    </row>
    <row r="9" spans="1:10" x14ac:dyDescent="0.2">
      <c r="J9">
        <f>147*4</f>
        <v>588</v>
      </c>
    </row>
    <row r="10" spans="1:10" x14ac:dyDescent="0.2">
      <c r="J10" s="11">
        <f>+J8/J9</f>
        <v>17.586998435374152</v>
      </c>
    </row>
    <row r="13" spans="1:10" x14ac:dyDescent="0.2">
      <c r="C13" s="14" t="s">
        <v>83</v>
      </c>
      <c r="D13" s="14"/>
      <c r="E13" s="14"/>
      <c r="F13" s="14"/>
    </row>
    <row r="14" spans="1:10" x14ac:dyDescent="0.2">
      <c r="C14" s="14" t="s">
        <v>86</v>
      </c>
      <c r="D14" s="14"/>
      <c r="E14" s="14"/>
      <c r="F14" s="14"/>
      <c r="G14" s="14"/>
    </row>
    <row r="15" spans="1:10" x14ac:dyDescent="0.2">
      <c r="C15" t="s">
        <v>84</v>
      </c>
      <c r="E15" s="13"/>
    </row>
    <row r="16" spans="1:10" x14ac:dyDescent="0.2">
      <c r="C16" t="s">
        <v>85</v>
      </c>
      <c r="E16" s="13"/>
    </row>
    <row r="18" spans="3:3" x14ac:dyDescent="0.2">
      <c r="C18" t="s">
        <v>83</v>
      </c>
    </row>
    <row r="19" spans="3:3" x14ac:dyDescent="0.2">
      <c r="C19" t="s">
        <v>87</v>
      </c>
    </row>
    <row r="20" spans="3:3" x14ac:dyDescent="0.2">
      <c r="C20" t="s">
        <v>88</v>
      </c>
    </row>
    <row r="21" spans="3:3" x14ac:dyDescent="0.2">
      <c r="C21" t="s">
        <v>85</v>
      </c>
    </row>
    <row r="22" spans="3:3" x14ac:dyDescent="0.2">
      <c r="C22" t="s">
        <v>89</v>
      </c>
    </row>
  </sheetData>
  <mergeCells count="4">
    <mergeCell ref="C3:E3"/>
    <mergeCell ref="C2:D2"/>
    <mergeCell ref="C13:F13"/>
    <mergeCell ref="C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26D4-9214-4973-8D1F-7A4161000437}">
  <dimension ref="A1:AC9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2.75" x14ac:dyDescent="0.2"/>
  <cols>
    <col min="1" max="1" width="17.5703125" bestFit="1" customWidth="1"/>
    <col min="2" max="2" width="10" customWidth="1"/>
    <col min="3" max="10" width="10.140625" style="2" bestFit="1" customWidth="1"/>
    <col min="11" max="16384" width="9.140625" style="2"/>
  </cols>
  <sheetData>
    <row r="1" spans="1:29" customFormat="1" ht="34.5" x14ac:dyDescent="0.45">
      <c r="A1" s="1" t="s">
        <v>0</v>
      </c>
      <c r="B1" s="1"/>
      <c r="E1" s="9" t="s">
        <v>36</v>
      </c>
      <c r="I1" s="9" t="s">
        <v>36</v>
      </c>
    </row>
    <row r="2" spans="1:29" customFormat="1" x14ac:dyDescent="0.2">
      <c r="A2" t="s">
        <v>1</v>
      </c>
      <c r="B2" s="8">
        <v>44561</v>
      </c>
      <c r="C2" s="8">
        <v>44651</v>
      </c>
      <c r="D2" s="8">
        <v>44772</v>
      </c>
      <c r="E2" s="8">
        <v>44834</v>
      </c>
      <c r="F2" s="8">
        <v>44926</v>
      </c>
      <c r="G2" s="8">
        <v>45016</v>
      </c>
      <c r="H2" s="8">
        <v>45137</v>
      </c>
      <c r="I2" s="8">
        <v>45199</v>
      </c>
      <c r="J2" s="8">
        <v>45291</v>
      </c>
    </row>
    <row r="3" spans="1:29" s="3" customFormat="1" x14ac:dyDescent="0.2">
      <c r="A3" t="s">
        <v>2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37</v>
      </c>
      <c r="K3" s="3" t="s">
        <v>39</v>
      </c>
      <c r="L3" s="3" t="s">
        <v>40</v>
      </c>
      <c r="M3" s="3" t="s">
        <v>41</v>
      </c>
      <c r="O3" s="3">
        <v>2020</v>
      </c>
      <c r="P3" s="3">
        <f>+O3+1</f>
        <v>2021</v>
      </c>
      <c r="Q3" s="3">
        <f t="shared" ref="Q3:AC3" si="0">+P3+1</f>
        <v>2022</v>
      </c>
      <c r="R3" s="3">
        <f t="shared" si="0"/>
        <v>2023</v>
      </c>
      <c r="S3" s="3">
        <f t="shared" si="0"/>
        <v>2024</v>
      </c>
      <c r="T3" s="3">
        <f t="shared" si="0"/>
        <v>2025</v>
      </c>
      <c r="U3" s="3">
        <f t="shared" si="0"/>
        <v>2026</v>
      </c>
      <c r="V3" s="3">
        <f t="shared" si="0"/>
        <v>2027</v>
      </c>
      <c r="W3" s="3">
        <f t="shared" si="0"/>
        <v>2028</v>
      </c>
      <c r="X3" s="3">
        <f t="shared" si="0"/>
        <v>2029</v>
      </c>
      <c r="Y3" s="3">
        <f t="shared" si="0"/>
        <v>2030</v>
      </c>
      <c r="Z3" s="3">
        <f t="shared" si="0"/>
        <v>2031</v>
      </c>
      <c r="AA3" s="3">
        <f t="shared" si="0"/>
        <v>2032</v>
      </c>
      <c r="AB3" s="3">
        <f t="shared" si="0"/>
        <v>2033</v>
      </c>
      <c r="AC3" s="3">
        <f t="shared" si="0"/>
        <v>2034</v>
      </c>
    </row>
    <row r="4" spans="1:29" s="12" customFormat="1" x14ac:dyDescent="0.2">
      <c r="A4" s="2" t="s">
        <v>78</v>
      </c>
      <c r="P4" s="12">
        <v>1365.625</v>
      </c>
      <c r="Q4" s="12">
        <v>1487.144</v>
      </c>
      <c r="R4" s="12">
        <v>1487.4159999999999</v>
      </c>
    </row>
    <row r="5" spans="1:29" s="12" customFormat="1" x14ac:dyDescent="0.2">
      <c r="A5" s="2" t="s">
        <v>79</v>
      </c>
      <c r="P5" s="12">
        <v>667.21900000000005</v>
      </c>
      <c r="Q5" s="12">
        <v>634.75900000000001</v>
      </c>
      <c r="R5" s="12">
        <v>741.59799999999996</v>
      </c>
    </row>
    <row r="6" spans="1:29" s="12" customFormat="1" x14ac:dyDescent="0.2">
      <c r="A6" s="2" t="s">
        <v>80</v>
      </c>
      <c r="P6" s="12">
        <v>478.46100000000001</v>
      </c>
      <c r="Q6" s="12">
        <v>488.23099999999999</v>
      </c>
      <c r="R6" s="12">
        <v>487.197</v>
      </c>
    </row>
    <row r="7" spans="1:29" s="12" customFormat="1" x14ac:dyDescent="0.2">
      <c r="A7" s="2" t="s">
        <v>50</v>
      </c>
      <c r="P7" s="12">
        <v>92.111000000000004</v>
      </c>
      <c r="Q7" s="12">
        <v>85.710999999999999</v>
      </c>
      <c r="R7" s="12">
        <v>96.957999999999998</v>
      </c>
    </row>
    <row r="8" spans="1:29" s="12" customFormat="1" x14ac:dyDescent="0.2">
      <c r="A8" s="2"/>
    </row>
    <row r="9" spans="1:29" s="12" customFormat="1" x14ac:dyDescent="0.2">
      <c r="A9" s="2" t="s">
        <v>81</v>
      </c>
      <c r="P9" s="12">
        <v>748.19200000000001</v>
      </c>
      <c r="Q9" s="12">
        <v>651.90200000000004</v>
      </c>
      <c r="R9" s="12">
        <v>670.65200000000004</v>
      </c>
    </row>
    <row r="10" spans="1:29" s="12" customFormat="1" x14ac:dyDescent="0.2">
      <c r="A10" s="2" t="s">
        <v>82</v>
      </c>
      <c r="P10" s="12">
        <v>498.892</v>
      </c>
      <c r="Q10" s="12">
        <v>665.21500000000003</v>
      </c>
      <c r="R10" s="12">
        <v>663.98599999999999</v>
      </c>
    </row>
    <row r="11" spans="1:29" s="12" customFormat="1" x14ac:dyDescent="0.2">
      <c r="A11" s="2"/>
    </row>
    <row r="12" spans="1:29" x14ac:dyDescent="0.2">
      <c r="A12" t="s">
        <v>17</v>
      </c>
      <c r="B12" s="2">
        <v>343.149</v>
      </c>
      <c r="C12" s="2">
        <v>297.51799999999997</v>
      </c>
      <c r="D12" s="2">
        <v>326.48200000000003</v>
      </c>
      <c r="E12" s="2">
        <v>349.96800000000002</v>
      </c>
      <c r="F12" s="2">
        <v>340.55799999999999</v>
      </c>
      <c r="G12" s="2">
        <v>340.58100000000002</v>
      </c>
      <c r="H12" s="2">
        <v>328.17500000000001</v>
      </c>
      <c r="I12" s="2">
        <v>325.32400000000001</v>
      </c>
      <c r="J12" s="2">
        <v>305.85899999999998</v>
      </c>
      <c r="O12" s="2">
        <v>1025.856</v>
      </c>
      <c r="P12" s="2">
        <v>1247.0840000000001</v>
      </c>
      <c r="Q12" s="2">
        <f>+SUM(B12:E12)</f>
        <v>1317.117</v>
      </c>
      <c r="R12" s="2">
        <f>+SUM(F12:I12)</f>
        <v>1334.6380000000001</v>
      </c>
    </row>
    <row r="13" spans="1:29" x14ac:dyDescent="0.2">
      <c r="A13" t="s">
        <v>18</v>
      </c>
      <c r="B13" s="2">
        <v>343.95100000000002</v>
      </c>
      <c r="C13" s="2">
        <v>336.70600000000002</v>
      </c>
      <c r="D13" s="2">
        <v>348.00599999999997</v>
      </c>
      <c r="E13" s="2">
        <v>350.065</v>
      </c>
      <c r="F13" s="2">
        <v>359.82</v>
      </c>
      <c r="G13" s="2">
        <v>362.59399999999999</v>
      </c>
      <c r="H13" s="2">
        <v>374.46699999999998</v>
      </c>
      <c r="I13" s="2">
        <v>381.65</v>
      </c>
      <c r="J13" s="2">
        <v>386.738</v>
      </c>
      <c r="O13" s="2">
        <v>1324.9659999999999</v>
      </c>
      <c r="P13" s="2">
        <v>1356.3320000000001</v>
      </c>
      <c r="Q13" s="2">
        <f>+SUM(B13:E13)</f>
        <v>1378.7280000000001</v>
      </c>
      <c r="R13" s="2">
        <f>+SUM(F13:I13)</f>
        <v>1478.5309999999999</v>
      </c>
    </row>
    <row r="14" spans="1:29" s="6" customFormat="1" x14ac:dyDescent="0.2">
      <c r="A14" s="5" t="s">
        <v>19</v>
      </c>
      <c r="B14" s="6">
        <f t="shared" ref="B14:J14" si="1">+B13+B12</f>
        <v>687.1</v>
      </c>
      <c r="C14" s="6">
        <f t="shared" si="1"/>
        <v>634.22399999999993</v>
      </c>
      <c r="D14" s="6">
        <f t="shared" si="1"/>
        <v>674.48800000000006</v>
      </c>
      <c r="E14" s="6">
        <f t="shared" si="1"/>
        <v>700.03300000000002</v>
      </c>
      <c r="F14" s="6">
        <f t="shared" si="1"/>
        <v>700.37799999999993</v>
      </c>
      <c r="G14" s="6">
        <f t="shared" si="1"/>
        <v>703.17499999999995</v>
      </c>
      <c r="H14" s="6">
        <f t="shared" si="1"/>
        <v>702.64200000000005</v>
      </c>
      <c r="I14" s="6">
        <f t="shared" si="1"/>
        <v>706.97399999999993</v>
      </c>
      <c r="J14" s="6">
        <f t="shared" si="1"/>
        <v>692.59699999999998</v>
      </c>
      <c r="O14" s="6">
        <f>+O13+O12</f>
        <v>2350.8220000000001</v>
      </c>
      <c r="P14" s="6">
        <f>+P13+P12</f>
        <v>2603.4160000000002</v>
      </c>
      <c r="Q14" s="6">
        <f>+Q13+Q12</f>
        <v>2695.8450000000003</v>
      </c>
      <c r="R14" s="6">
        <f>+R13+R12</f>
        <v>2813.1689999999999</v>
      </c>
    </row>
    <row r="15" spans="1:29" x14ac:dyDescent="0.2">
      <c r="A15" t="s">
        <v>20</v>
      </c>
      <c r="B15" s="2">
        <v>135.07300000000001</v>
      </c>
      <c r="C15" s="2">
        <v>126.35899999999999</v>
      </c>
      <c r="D15" s="2">
        <v>130.733</v>
      </c>
      <c r="E15" s="2">
        <v>147.46199999999999</v>
      </c>
      <c r="F15" s="2">
        <v>155.00700000000001</v>
      </c>
      <c r="G15" s="2">
        <v>155.654</v>
      </c>
      <c r="H15" s="2">
        <v>141.68299999999999</v>
      </c>
      <c r="I15" s="2">
        <v>140.964</v>
      </c>
      <c r="J15" s="2">
        <v>136.38900000000001</v>
      </c>
      <c r="O15" s="2">
        <v>407.887</v>
      </c>
      <c r="P15" s="2">
        <v>493.14600000000002</v>
      </c>
      <c r="Q15" s="2">
        <f>+SUM(B15:E15)</f>
        <v>539.62699999999995</v>
      </c>
      <c r="R15" s="2">
        <f>+SUM(F15:I15)</f>
        <v>593.30799999999999</v>
      </c>
    </row>
    <row r="16" spans="1:29" x14ac:dyDescent="0.2">
      <c r="A16" t="s">
        <v>21</v>
      </c>
      <c r="B16" s="2">
        <f t="shared" ref="B16:J16" si="2">+B14-B15</f>
        <v>552.02700000000004</v>
      </c>
      <c r="C16" s="2">
        <f t="shared" si="2"/>
        <v>507.86499999999995</v>
      </c>
      <c r="D16" s="2">
        <f t="shared" si="2"/>
        <v>543.75500000000011</v>
      </c>
      <c r="E16" s="2">
        <f t="shared" si="2"/>
        <v>552.57100000000003</v>
      </c>
      <c r="F16" s="2">
        <f t="shared" si="2"/>
        <v>545.37099999999987</v>
      </c>
      <c r="G16" s="2">
        <f t="shared" si="2"/>
        <v>547.52099999999996</v>
      </c>
      <c r="H16" s="2">
        <f t="shared" si="2"/>
        <v>560.95900000000006</v>
      </c>
      <c r="I16" s="2">
        <f t="shared" si="2"/>
        <v>566.01</v>
      </c>
      <c r="J16" s="2">
        <f t="shared" si="2"/>
        <v>556.20799999999997</v>
      </c>
      <c r="O16" s="2">
        <f>+O14-O15</f>
        <v>1942.9350000000002</v>
      </c>
      <c r="P16" s="2">
        <f>+P14-P15</f>
        <v>2110.27</v>
      </c>
      <c r="Q16" s="2">
        <f>+Q14-Q15</f>
        <v>2156.2180000000003</v>
      </c>
      <c r="R16" s="2">
        <f>+R14-R15</f>
        <v>2219.8609999999999</v>
      </c>
    </row>
    <row r="17" spans="1:18" x14ac:dyDescent="0.2">
      <c r="A17" t="s">
        <v>22</v>
      </c>
      <c r="B17" s="2">
        <v>234.035</v>
      </c>
      <c r="C17" s="2">
        <v>228.82599999999999</v>
      </c>
      <c r="D17" s="2">
        <v>226.73099999999999</v>
      </c>
      <c r="E17" s="2">
        <v>236.999</v>
      </c>
      <c r="F17" s="2">
        <v>233.10499999999999</v>
      </c>
      <c r="G17" s="2">
        <v>233.07599999999999</v>
      </c>
      <c r="H17" s="2">
        <v>207.202</v>
      </c>
      <c r="I17" s="2">
        <v>204.83199999999999</v>
      </c>
      <c r="J17" s="2">
        <v>198.92699999999999</v>
      </c>
      <c r="O17" s="2">
        <v>843.178</v>
      </c>
      <c r="P17" s="2">
        <v>929.98299999999995</v>
      </c>
      <c r="Q17" s="2">
        <f t="shared" ref="Q17:Q19" si="3">+SUM(B17:E17)</f>
        <v>926.59100000000001</v>
      </c>
      <c r="R17" s="2">
        <f t="shared" ref="R17:R19" si="4">+SUM(F17:I17)</f>
        <v>878.21500000000003</v>
      </c>
    </row>
    <row r="18" spans="1:18" x14ac:dyDescent="0.2">
      <c r="A18" t="s">
        <v>23</v>
      </c>
      <c r="B18" s="2">
        <v>130.27099999999999</v>
      </c>
      <c r="C18" s="2">
        <v>135.83799999999999</v>
      </c>
      <c r="D18" s="2">
        <v>138.73699999999999</v>
      </c>
      <c r="E18" s="2">
        <v>138.52199999999999</v>
      </c>
      <c r="F18" s="2">
        <v>142.32300000000001</v>
      </c>
      <c r="G18" s="2">
        <v>141.363</v>
      </c>
      <c r="H18" s="2">
        <v>128.76499999999999</v>
      </c>
      <c r="I18" s="2">
        <v>127.834</v>
      </c>
      <c r="J18" s="2">
        <v>119.575</v>
      </c>
      <c r="O18" s="2">
        <v>441.32400000000001</v>
      </c>
      <c r="P18" s="2">
        <v>512.62699999999995</v>
      </c>
      <c r="Q18" s="2">
        <f t="shared" si="3"/>
        <v>543.36799999999994</v>
      </c>
      <c r="R18" s="2">
        <f t="shared" si="4"/>
        <v>540.28500000000008</v>
      </c>
    </row>
    <row r="19" spans="1:18" x14ac:dyDescent="0.2">
      <c r="A19" t="s">
        <v>24</v>
      </c>
      <c r="B19" s="2">
        <v>65.661000000000001</v>
      </c>
      <c r="C19" s="2">
        <v>68.554000000000002</v>
      </c>
      <c r="D19" s="2">
        <v>70.822999999999993</v>
      </c>
      <c r="E19" s="2">
        <v>69.52</v>
      </c>
      <c r="F19" s="2">
        <v>69.991</v>
      </c>
      <c r="G19" s="2">
        <v>67.036000000000001</v>
      </c>
      <c r="H19" s="2">
        <v>64.775000000000006</v>
      </c>
      <c r="I19" s="2">
        <v>61.603000000000002</v>
      </c>
      <c r="J19" s="2">
        <v>64.718000000000004</v>
      </c>
      <c r="O19" s="2">
        <v>258.36599999999999</v>
      </c>
      <c r="P19" s="2">
        <v>273.63499999999999</v>
      </c>
      <c r="Q19" s="2">
        <f t="shared" si="3"/>
        <v>274.55799999999999</v>
      </c>
      <c r="R19" s="2">
        <f t="shared" si="4"/>
        <v>263.40499999999997</v>
      </c>
    </row>
    <row r="20" spans="1:18" x14ac:dyDescent="0.2">
      <c r="A20" t="s">
        <v>25</v>
      </c>
      <c r="B20" s="2">
        <f t="shared" ref="B20:J20" si="5">+SUM(B17:B19)</f>
        <v>429.96699999999998</v>
      </c>
      <c r="C20" s="2">
        <f t="shared" si="5"/>
        <v>433.21799999999996</v>
      </c>
      <c r="D20" s="2">
        <f t="shared" si="5"/>
        <v>436.29099999999994</v>
      </c>
      <c r="E20" s="2">
        <f t="shared" si="5"/>
        <v>445.04099999999994</v>
      </c>
      <c r="F20" s="2">
        <f t="shared" si="5"/>
        <v>445.41899999999998</v>
      </c>
      <c r="G20" s="2">
        <f t="shared" si="5"/>
        <v>441.47499999999997</v>
      </c>
      <c r="H20" s="2">
        <f t="shared" si="5"/>
        <v>400.74199999999996</v>
      </c>
      <c r="I20" s="2">
        <f t="shared" si="5"/>
        <v>394.26900000000001</v>
      </c>
      <c r="J20" s="2">
        <f t="shared" si="5"/>
        <v>383.22</v>
      </c>
      <c r="O20" s="2">
        <f>+SUM(O17:O19)</f>
        <v>1542.8679999999999</v>
      </c>
      <c r="P20" s="2">
        <f>+SUM(P17:P19)</f>
        <v>1716.2449999999999</v>
      </c>
      <c r="Q20" s="2">
        <f>+SUM(Q17:Q19)</f>
        <v>1744.5169999999998</v>
      </c>
      <c r="R20" s="2">
        <f>+SUM(R17:R19)</f>
        <v>1681.905</v>
      </c>
    </row>
    <row r="21" spans="1:18" s="6" customFormat="1" x14ac:dyDescent="0.2">
      <c r="A21" s="5" t="s">
        <v>26</v>
      </c>
      <c r="B21" s="6">
        <f t="shared" ref="B21:J21" si="6">+B16-B20</f>
        <v>122.06000000000006</v>
      </c>
      <c r="C21" s="6">
        <f t="shared" si="6"/>
        <v>74.646999999999991</v>
      </c>
      <c r="D21" s="6">
        <f t="shared" si="6"/>
        <v>107.46400000000017</v>
      </c>
      <c r="E21" s="6">
        <f t="shared" si="6"/>
        <v>107.53000000000009</v>
      </c>
      <c r="F21" s="6">
        <f t="shared" si="6"/>
        <v>99.951999999999884</v>
      </c>
      <c r="G21" s="6">
        <f t="shared" si="6"/>
        <v>106.04599999999999</v>
      </c>
      <c r="H21" s="6">
        <f t="shared" si="6"/>
        <v>160.2170000000001</v>
      </c>
      <c r="I21" s="6">
        <f t="shared" si="6"/>
        <v>171.74099999999999</v>
      </c>
      <c r="J21" s="6">
        <f t="shared" si="6"/>
        <v>172.98799999999994</v>
      </c>
      <c r="O21" s="6">
        <f>+O16-O20</f>
        <v>400.06700000000023</v>
      </c>
      <c r="P21" s="6">
        <f>+P16-P20</f>
        <v>394.02500000000009</v>
      </c>
      <c r="Q21" s="6">
        <f>+Q16-Q20</f>
        <v>411.70100000000048</v>
      </c>
      <c r="R21" s="6">
        <f>+R16-R20</f>
        <v>537.9559999999999</v>
      </c>
    </row>
    <row r="22" spans="1:18" x14ac:dyDescent="0.2">
      <c r="A22" t="s">
        <v>27</v>
      </c>
      <c r="B22" s="2">
        <v>-2.431</v>
      </c>
      <c r="C22" s="2">
        <v>-1.9339999999999999</v>
      </c>
      <c r="D22" s="2">
        <v>-6.2210000000000001</v>
      </c>
      <c r="E22" s="2">
        <v>-7.8129999999999997</v>
      </c>
      <c r="F22" s="2">
        <v>4.702</v>
      </c>
      <c r="G22" s="2">
        <v>2.7370000000000001</v>
      </c>
      <c r="H22" s="2">
        <v>2.8959999999999999</v>
      </c>
      <c r="I22" s="2">
        <v>3.085</v>
      </c>
      <c r="J22" s="2">
        <v>9.8819999999999997</v>
      </c>
      <c r="O22" s="2">
        <v>4.13</v>
      </c>
      <c r="P22" s="2">
        <v>-7.0880000000000001</v>
      </c>
      <c r="Q22" s="2">
        <f t="shared" ref="Q22:Q24" si="7">+SUM(B22:E22)</f>
        <v>-18.399000000000001</v>
      </c>
      <c r="R22" s="2">
        <f t="shared" ref="R22:R24" si="8">+SUM(F22:I22)</f>
        <v>13.420000000000002</v>
      </c>
    </row>
    <row r="23" spans="1:18" x14ac:dyDescent="0.2">
      <c r="A23" t="s">
        <v>28</v>
      </c>
      <c r="B23" s="2">
        <f t="shared" ref="B23:J23" si="9">+B21+B22</f>
        <v>119.62900000000006</v>
      </c>
      <c r="C23" s="2">
        <f t="shared" si="9"/>
        <v>72.712999999999994</v>
      </c>
      <c r="D23" s="2">
        <f t="shared" si="9"/>
        <v>101.24300000000017</v>
      </c>
      <c r="E23" s="2">
        <f t="shared" si="9"/>
        <v>99.717000000000084</v>
      </c>
      <c r="F23" s="2">
        <f t="shared" si="9"/>
        <v>104.65399999999988</v>
      </c>
      <c r="G23" s="2">
        <f t="shared" si="9"/>
        <v>108.78299999999999</v>
      </c>
      <c r="H23" s="2">
        <f t="shared" si="9"/>
        <v>163.11300000000008</v>
      </c>
      <c r="I23" s="2">
        <f t="shared" si="9"/>
        <v>174.82599999999999</v>
      </c>
      <c r="J23" s="2">
        <f t="shared" si="9"/>
        <v>182.86999999999995</v>
      </c>
      <c r="O23" s="2">
        <f>+O21+O22</f>
        <v>404.19700000000023</v>
      </c>
      <c r="P23" s="2">
        <f>+P21+P22</f>
        <v>386.93700000000007</v>
      </c>
      <c r="Q23" s="2">
        <f>+Q21+Q22</f>
        <v>393.30200000000048</v>
      </c>
      <c r="R23" s="2">
        <f>+R21+R22</f>
        <v>551.37599999999986</v>
      </c>
    </row>
    <row r="24" spans="1:18" x14ac:dyDescent="0.2">
      <c r="A24" t="s">
        <v>29</v>
      </c>
      <c r="B24" s="2">
        <v>18.161000000000001</v>
      </c>
      <c r="C24" s="2">
        <v>16.477</v>
      </c>
      <c r="D24" s="2">
        <v>18.224</v>
      </c>
      <c r="E24" s="2">
        <v>10.371</v>
      </c>
      <c r="F24" s="2">
        <v>23.512</v>
      </c>
      <c r="G24" s="2">
        <v>27.347000000000001</v>
      </c>
      <c r="H24" s="2">
        <v>17.489000000000001</v>
      </c>
      <c r="I24" s="2">
        <v>22.692</v>
      </c>
      <c r="J24" s="2">
        <v>36.015999999999998</v>
      </c>
      <c r="O24" s="2">
        <v>88.956000000000003</v>
      </c>
      <c r="P24" s="2">
        <v>55.695999999999998</v>
      </c>
      <c r="Q24" s="2">
        <f t="shared" si="7"/>
        <v>63.233000000000011</v>
      </c>
      <c r="R24" s="2">
        <f t="shared" si="8"/>
        <v>91.039999999999992</v>
      </c>
    </row>
    <row r="25" spans="1:18" s="6" customFormat="1" x14ac:dyDescent="0.2">
      <c r="A25" s="5" t="s">
        <v>30</v>
      </c>
      <c r="B25" s="6">
        <f t="shared" ref="B25:J25" si="10">+B23-B24</f>
        <v>101.46800000000006</v>
      </c>
      <c r="C25" s="6">
        <f t="shared" si="10"/>
        <v>56.23599999999999</v>
      </c>
      <c r="D25" s="6">
        <f t="shared" si="10"/>
        <v>83.019000000000162</v>
      </c>
      <c r="E25" s="6">
        <f t="shared" si="10"/>
        <v>89.346000000000089</v>
      </c>
      <c r="F25" s="6">
        <f t="shared" si="10"/>
        <v>81.141999999999882</v>
      </c>
      <c r="G25" s="6">
        <f t="shared" si="10"/>
        <v>81.435999999999979</v>
      </c>
      <c r="H25" s="6">
        <f t="shared" si="10"/>
        <v>145.62400000000008</v>
      </c>
      <c r="I25" s="6">
        <f t="shared" si="10"/>
        <v>152.13399999999999</v>
      </c>
      <c r="J25" s="6">
        <f t="shared" si="10"/>
        <v>146.85399999999996</v>
      </c>
      <c r="O25" s="6">
        <f>+O23-O24</f>
        <v>315.24100000000021</v>
      </c>
      <c r="P25" s="6">
        <f>+P23-P24</f>
        <v>331.2410000000001</v>
      </c>
      <c r="Q25" s="6">
        <f>+Q23-Q24</f>
        <v>330.06900000000047</v>
      </c>
      <c r="R25" s="6">
        <f>+R23-R24</f>
        <v>460.3359999999999</v>
      </c>
    </row>
    <row r="26" spans="1:18" x14ac:dyDescent="0.2">
      <c r="A26" t="s">
        <v>31</v>
      </c>
      <c r="B26" s="4">
        <f t="shared" ref="B26:J26" si="11">+B25/B27</f>
        <v>1.6397013671180645</v>
      </c>
      <c r="C26" s="4">
        <f t="shared" si="11"/>
        <v>0.91582118719973926</v>
      </c>
      <c r="D26" s="4">
        <f t="shared" si="11"/>
        <v>1.3731227257691061</v>
      </c>
      <c r="E26" s="4">
        <f t="shared" si="11"/>
        <v>1.4859794431693458</v>
      </c>
      <c r="F26" s="4">
        <f t="shared" si="11"/>
        <v>1.3436998029377165</v>
      </c>
      <c r="G26" s="4">
        <f t="shared" si="11"/>
        <v>1.3418134484519941</v>
      </c>
      <c r="H26" s="4">
        <f t="shared" si="11"/>
        <v>2.4144311436814019</v>
      </c>
      <c r="I26" s="4">
        <f t="shared" si="11"/>
        <v>2.5483508936498098</v>
      </c>
      <c r="J26" s="4">
        <f t="shared" si="11"/>
        <v>2.4618041003805335</v>
      </c>
      <c r="O26" s="4">
        <f>+O25/O27</f>
        <v>5.1360585225976765</v>
      </c>
      <c r="P26" s="4">
        <f>+P25/P27</f>
        <v>5.3376895434842178</v>
      </c>
      <c r="Q26" s="4">
        <f>+Q25/Q27</f>
        <v>5.4896217942321206</v>
      </c>
      <c r="R26" s="4">
        <f>+R25/R27</f>
        <v>7.7109499321596662</v>
      </c>
    </row>
    <row r="27" spans="1:18" x14ac:dyDescent="0.2">
      <c r="A27" t="s">
        <v>4</v>
      </c>
      <c r="B27" s="2">
        <v>61.881999999999998</v>
      </c>
      <c r="C27" s="2">
        <v>61.405000000000001</v>
      </c>
      <c r="D27" s="2">
        <v>60.46</v>
      </c>
      <c r="E27" s="2">
        <v>60.125999999999998</v>
      </c>
      <c r="F27" s="2">
        <v>60.387</v>
      </c>
      <c r="G27" s="2">
        <v>60.691000000000003</v>
      </c>
      <c r="H27" s="2">
        <v>60.314</v>
      </c>
      <c r="I27" s="2">
        <v>59.698999999999998</v>
      </c>
      <c r="J27" s="2">
        <v>59.652999999999999</v>
      </c>
      <c r="O27" s="2">
        <v>61.378</v>
      </c>
      <c r="P27" s="2">
        <v>62.057000000000002</v>
      </c>
      <c r="Q27" s="2">
        <f>+E27</f>
        <v>60.125999999999998</v>
      </c>
      <c r="R27" s="2">
        <f>+I27</f>
        <v>59.698999999999998</v>
      </c>
    </row>
    <row r="28" spans="1:18" x14ac:dyDescent="0.2">
      <c r="B28" s="2"/>
    </row>
    <row r="29" spans="1:18" s="7" customFormat="1" x14ac:dyDescent="0.2">
      <c r="A29" s="7" t="s">
        <v>32</v>
      </c>
      <c r="B29" s="7">
        <f t="shared" ref="B29:J29" si="12">+B16/B14</f>
        <v>0.80341580555959835</v>
      </c>
      <c r="C29" s="7">
        <f t="shared" si="12"/>
        <v>0.80076597542823991</v>
      </c>
      <c r="D29" s="7">
        <f t="shared" si="12"/>
        <v>0.80617446122095582</v>
      </c>
      <c r="E29" s="7">
        <f t="shared" si="12"/>
        <v>0.78934993064612669</v>
      </c>
      <c r="F29" s="7">
        <f t="shared" si="12"/>
        <v>0.77868094086336226</v>
      </c>
      <c r="G29" s="7">
        <f t="shared" si="12"/>
        <v>0.77864116329505462</v>
      </c>
      <c r="H29" s="7">
        <f t="shared" si="12"/>
        <v>0.79835677343512057</v>
      </c>
      <c r="I29" s="7">
        <f t="shared" si="12"/>
        <v>0.80060935762842766</v>
      </c>
      <c r="J29" s="7">
        <f t="shared" si="12"/>
        <v>0.8030759590353409</v>
      </c>
      <c r="O29" s="7">
        <f>+O16/O14</f>
        <v>0.82649175479895975</v>
      </c>
      <c r="P29" s="7">
        <f>+P16/P14</f>
        <v>0.81057733377992602</v>
      </c>
      <c r="Q29" s="7">
        <f>+Q16/Q14</f>
        <v>0.79983010892688566</v>
      </c>
      <c r="R29" s="7">
        <f>+R16/R14</f>
        <v>0.78909621142562003</v>
      </c>
    </row>
    <row r="30" spans="1:18" s="7" customFormat="1" x14ac:dyDescent="0.2">
      <c r="A30" s="7" t="s">
        <v>33</v>
      </c>
      <c r="B30" s="7">
        <f t="shared" ref="B30:J30" si="13">+B21/B14</f>
        <v>0.17764517537476357</v>
      </c>
      <c r="C30" s="7">
        <f t="shared" si="13"/>
        <v>0.11769816342490981</v>
      </c>
      <c r="D30" s="7">
        <f t="shared" si="13"/>
        <v>0.15932677823771538</v>
      </c>
      <c r="E30" s="7">
        <f t="shared" si="13"/>
        <v>0.15360704423934313</v>
      </c>
      <c r="F30" s="7">
        <f t="shared" si="13"/>
        <v>0.14271150721467535</v>
      </c>
      <c r="G30" s="7">
        <f t="shared" si="13"/>
        <v>0.15081025349308494</v>
      </c>
      <c r="H30" s="7">
        <f t="shared" si="13"/>
        <v>0.22802081287483539</v>
      </c>
      <c r="I30" s="7">
        <f t="shared" si="13"/>
        <v>0.24292406792894788</v>
      </c>
      <c r="J30" s="7">
        <f t="shared" si="13"/>
        <v>0.24976718062596279</v>
      </c>
      <c r="O30" s="7">
        <f>+O21/O14</f>
        <v>0.17018174919241025</v>
      </c>
      <c r="P30" s="7">
        <f>+P21/P14</f>
        <v>0.1513492273228712</v>
      </c>
      <c r="Q30" s="7">
        <f>+Q21/Q14</f>
        <v>0.15271686614030125</v>
      </c>
      <c r="R30" s="7">
        <f>+R21/R14</f>
        <v>0.19122775773513781</v>
      </c>
    </row>
    <row r="31" spans="1:18" s="7" customFormat="1" x14ac:dyDescent="0.2">
      <c r="A31" s="7" t="s">
        <v>34</v>
      </c>
      <c r="B31" s="7">
        <f t="shared" ref="B31:J31" si="14">+B25/B14</f>
        <v>0.14767573861155589</v>
      </c>
      <c r="C31" s="7">
        <f t="shared" si="14"/>
        <v>8.866898761320921E-2</v>
      </c>
      <c r="D31" s="7">
        <f t="shared" si="14"/>
        <v>0.12308447296319602</v>
      </c>
      <c r="E31" s="7">
        <f t="shared" si="14"/>
        <v>0.12763112596120482</v>
      </c>
      <c r="F31" s="7">
        <f t="shared" si="14"/>
        <v>0.11585458138319578</v>
      </c>
      <c r="G31" s="7">
        <f t="shared" si="14"/>
        <v>0.11581185337931522</v>
      </c>
      <c r="H31" s="7">
        <f t="shared" si="14"/>
        <v>0.20725205723540591</v>
      </c>
      <c r="I31" s="7">
        <f t="shared" si="14"/>
        <v>0.21519037475211253</v>
      </c>
      <c r="J31" s="7">
        <f t="shared" si="14"/>
        <v>0.21203383785953442</v>
      </c>
      <c r="O31" s="7">
        <f>+O25/O14</f>
        <v>0.13409820054432034</v>
      </c>
      <c r="P31" s="7">
        <f>+P25/P14</f>
        <v>0.1272332197389891</v>
      </c>
      <c r="Q31" s="7">
        <f>+Q25/Q14</f>
        <v>0.12243619347551526</v>
      </c>
      <c r="R31" s="7">
        <f>+R25/R14</f>
        <v>0.16363609864889025</v>
      </c>
    </row>
    <row r="32" spans="1:18" s="7" customFormat="1" x14ac:dyDescent="0.2">
      <c r="A32" s="7" t="s">
        <v>35</v>
      </c>
      <c r="B32" s="7">
        <f t="shared" ref="B32:J32" si="15">+B24/B23</f>
        <v>0.15181101572361211</v>
      </c>
      <c r="C32" s="7">
        <f t="shared" si="15"/>
        <v>0.22660322088209814</v>
      </c>
      <c r="D32" s="7">
        <f t="shared" si="15"/>
        <v>0.18000256807878046</v>
      </c>
      <c r="E32" s="7">
        <f t="shared" si="15"/>
        <v>0.10400433226029655</v>
      </c>
      <c r="F32" s="7">
        <f t="shared" si="15"/>
        <v>0.22466413132799537</v>
      </c>
      <c r="G32" s="7">
        <f t="shared" si="15"/>
        <v>0.25139038268847158</v>
      </c>
      <c r="H32" s="7">
        <f t="shared" si="15"/>
        <v>0.1072201479955613</v>
      </c>
      <c r="I32" s="7">
        <f t="shared" si="15"/>
        <v>0.1297976273551989</v>
      </c>
      <c r="J32" s="7">
        <f t="shared" si="15"/>
        <v>0.19694865204790293</v>
      </c>
      <c r="O32" s="7">
        <f>+O24/O23</f>
        <v>0.22008080218309378</v>
      </c>
      <c r="P32" s="7">
        <f>+P24/P23</f>
        <v>0.14394074487578079</v>
      </c>
      <c r="Q32" s="7">
        <f>+Q24/Q23</f>
        <v>0.16077467188064118</v>
      </c>
      <c r="R32" s="7">
        <f>+R24/R23</f>
        <v>0.16511418705202985</v>
      </c>
    </row>
    <row r="34" spans="1:18" s="10" customFormat="1" x14ac:dyDescent="0.2">
      <c r="A34" s="10" t="s">
        <v>38</v>
      </c>
      <c r="F34" s="10">
        <f t="shared" ref="F34:I34" si="16">+F14/B14-1</f>
        <v>1.9324698006112584E-2</v>
      </c>
      <c r="G34" s="10">
        <f t="shared" si="16"/>
        <v>0.10871710941244728</v>
      </c>
      <c r="H34" s="10">
        <f t="shared" si="16"/>
        <v>4.1741291171970341E-2</v>
      </c>
      <c r="I34" s="10">
        <f t="shared" si="16"/>
        <v>9.9152468526482185E-3</v>
      </c>
      <c r="J34" s="10">
        <f>+J14/F14-1</f>
        <v>-1.1109715039592793E-2</v>
      </c>
      <c r="P34" s="10">
        <f>+P14/O14-1</f>
        <v>0.10744922414372504</v>
      </c>
      <c r="Q34" s="10">
        <f>+Q14/P14-1</f>
        <v>3.550296994410429E-2</v>
      </c>
      <c r="R34" s="10">
        <f>+R14/Q14-1</f>
        <v>4.3520306249061003E-2</v>
      </c>
    </row>
    <row r="35" spans="1:18" s="7" customFormat="1" x14ac:dyDescent="0.2">
      <c r="A35" s="7" t="s">
        <v>42</v>
      </c>
      <c r="F35" s="7">
        <f t="shared" ref="F35:I35" si="17">+F17/B17-1</f>
        <v>-3.9737646078578104E-3</v>
      </c>
      <c r="G35" s="7">
        <f t="shared" si="17"/>
        <v>1.8573064249691962E-2</v>
      </c>
      <c r="H35" s="7">
        <f t="shared" si="17"/>
        <v>-8.6132906395684716E-2</v>
      </c>
      <c r="I35" s="7">
        <f t="shared" si="17"/>
        <v>-0.13572631108148137</v>
      </c>
      <c r="J35" s="7">
        <f>+J17/F17-1</f>
        <v>-0.14662062160828815</v>
      </c>
      <c r="P35" s="7">
        <f t="shared" ref="P35:R37" si="18">+P17/O17-1</f>
        <v>0.10294979233329138</v>
      </c>
      <c r="Q35" s="7">
        <f t="shared" si="18"/>
        <v>-3.6473785004671466E-3</v>
      </c>
      <c r="R35" s="7">
        <f t="shared" si="18"/>
        <v>-5.2208579621429441E-2</v>
      </c>
    </row>
    <row r="36" spans="1:18" s="7" customFormat="1" x14ac:dyDescent="0.2">
      <c r="A36" s="7" t="s">
        <v>43</v>
      </c>
      <c r="F36" s="7">
        <f t="shared" ref="F36:I36" si="19">+F18/B18-1</f>
        <v>9.2514834460470929E-2</v>
      </c>
      <c r="G36" s="7">
        <f t="shared" si="19"/>
        <v>4.0673449255731242E-2</v>
      </c>
      <c r="H36" s="7">
        <f t="shared" si="19"/>
        <v>-7.1877004692331603E-2</v>
      </c>
      <c r="I36" s="7">
        <f t="shared" si="19"/>
        <v>-7.7157419038131003E-2</v>
      </c>
      <c r="J36" s="7">
        <f>+J18/F18-1</f>
        <v>-0.15983361789731809</v>
      </c>
      <c r="P36" s="7">
        <f t="shared" si="18"/>
        <v>0.16156610562761142</v>
      </c>
      <c r="Q36" s="7">
        <f t="shared" si="18"/>
        <v>5.9967578765847351E-2</v>
      </c>
      <c r="R36" s="7">
        <f t="shared" si="18"/>
        <v>-5.6738711149715293E-3</v>
      </c>
    </row>
    <row r="37" spans="1:18" s="7" customFormat="1" x14ac:dyDescent="0.2">
      <c r="A37" s="7" t="s">
        <v>44</v>
      </c>
      <c r="F37" s="7">
        <f t="shared" ref="F37:I37" si="20">+F19/B19-1</f>
        <v>6.5944776960448426E-2</v>
      </c>
      <c r="G37" s="7">
        <f t="shared" si="20"/>
        <v>-2.2143128045044813E-2</v>
      </c>
      <c r="H37" s="7">
        <f t="shared" si="20"/>
        <v>-8.5395987179305965E-2</v>
      </c>
      <c r="I37" s="7">
        <f t="shared" si="20"/>
        <v>-0.11388089758342912</v>
      </c>
      <c r="J37" s="7">
        <f>+J19/F19-1</f>
        <v>-7.5338257775999673E-2</v>
      </c>
      <c r="P37" s="7">
        <f t="shared" si="18"/>
        <v>5.909833337203807E-2</v>
      </c>
      <c r="Q37" s="7">
        <f t="shared" si="18"/>
        <v>3.3731065104976032E-3</v>
      </c>
      <c r="R37" s="7">
        <f t="shared" si="18"/>
        <v>-4.0621653712512584E-2</v>
      </c>
    </row>
    <row r="39" spans="1:18" x14ac:dyDescent="0.2">
      <c r="A39" s="7" t="s">
        <v>45</v>
      </c>
    </row>
    <row r="40" spans="1:18" x14ac:dyDescent="0.2">
      <c r="A40" s="7" t="s">
        <v>6</v>
      </c>
      <c r="F40" s="2">
        <f>605.739+54.015+7.812</f>
        <v>667.56600000000003</v>
      </c>
      <c r="G40" s="2">
        <f>734.544+20.71+4.736</f>
        <v>759.99</v>
      </c>
      <c r="H40" s="2">
        <f>677.498+13.109+5.887</f>
        <v>696.49400000000003</v>
      </c>
      <c r="I40" s="2">
        <f>797.163+6.16+5.068</f>
        <v>808.39099999999996</v>
      </c>
      <c r="J40" s="2">
        <f>822.572+3.287+6.17</f>
        <v>832.029</v>
      </c>
    </row>
    <row r="41" spans="1:18" x14ac:dyDescent="0.2">
      <c r="A41" t="s">
        <v>59</v>
      </c>
      <c r="F41" s="2">
        <v>485.27699999999999</v>
      </c>
      <c r="G41" s="2">
        <v>485.62200000000001</v>
      </c>
      <c r="H41" s="2">
        <v>439.51799999999997</v>
      </c>
      <c r="I41" s="2">
        <v>454.83199999999999</v>
      </c>
      <c r="J41" s="2">
        <v>513.17600000000004</v>
      </c>
    </row>
    <row r="42" spans="1:18" x14ac:dyDescent="0.2">
      <c r="A42" t="s">
        <v>58</v>
      </c>
      <c r="F42" s="2">
        <v>59.197000000000003</v>
      </c>
      <c r="G42" s="2">
        <v>50.744999999999997</v>
      </c>
      <c r="H42" s="2">
        <v>46.101999999999997</v>
      </c>
      <c r="I42" s="2">
        <v>35.874000000000002</v>
      </c>
      <c r="J42" s="2">
        <v>35.840000000000003</v>
      </c>
    </row>
    <row r="43" spans="1:18" x14ac:dyDescent="0.2">
      <c r="A43" t="s">
        <v>57</v>
      </c>
      <c r="F43" s="2">
        <v>167.709</v>
      </c>
      <c r="G43" s="2">
        <v>169.77099999999999</v>
      </c>
      <c r="H43" s="2">
        <v>171.14699999999999</v>
      </c>
      <c r="I43" s="2">
        <v>170.422</v>
      </c>
      <c r="J43" s="2">
        <v>167.113</v>
      </c>
    </row>
    <row r="44" spans="1:18" x14ac:dyDescent="0.2">
      <c r="A44" t="s">
        <v>51</v>
      </c>
      <c r="F44" s="2">
        <v>223.953</v>
      </c>
      <c r="G44" s="2">
        <v>216.29300000000001</v>
      </c>
      <c r="H44" s="2">
        <v>204.196</v>
      </c>
      <c r="I44" s="2">
        <v>195.471</v>
      </c>
      <c r="J44" s="2">
        <v>192.17400000000001</v>
      </c>
    </row>
    <row r="45" spans="1:18" x14ac:dyDescent="0.2">
      <c r="A45" t="s">
        <v>52</v>
      </c>
      <c r="F45" s="2">
        <v>208.56200000000001</v>
      </c>
      <c r="G45" s="2">
        <v>235.10900000000001</v>
      </c>
      <c r="H45" s="2">
        <v>271.17099999999999</v>
      </c>
      <c r="I45" s="2">
        <v>295.30799999999999</v>
      </c>
      <c r="J45" s="2">
        <v>307.11900000000003</v>
      </c>
    </row>
    <row r="46" spans="1:18" x14ac:dyDescent="0.2">
      <c r="A46" t="s">
        <v>56</v>
      </c>
      <c r="F46" s="2">
        <v>2259.277</v>
      </c>
      <c r="G46" s="2">
        <v>2288.6350000000002</v>
      </c>
      <c r="H46" s="2">
        <v>2288.6779999999999</v>
      </c>
      <c r="I46" s="2">
        <v>2288.6779999999999</v>
      </c>
      <c r="J46" s="2">
        <v>2288.6779999999999</v>
      </c>
    </row>
    <row r="47" spans="1:18" x14ac:dyDescent="0.2">
      <c r="A47" t="s">
        <v>50</v>
      </c>
      <c r="F47" s="2">
        <f>510.279+503.748</f>
        <v>1014.027</v>
      </c>
      <c r="G47" s="2">
        <f>533.554+483.532</f>
        <v>1017.086</v>
      </c>
      <c r="H47" s="2">
        <f>537.557+464.293</f>
        <v>1001.85</v>
      </c>
      <c r="I47" s="2">
        <f>554.744+444.613</f>
        <v>999.35699999999997</v>
      </c>
      <c r="J47" s="2">
        <f>425.85+586.876</f>
        <v>1012.726</v>
      </c>
    </row>
    <row r="48" spans="1:18" x14ac:dyDescent="0.2">
      <c r="A48" t="s">
        <v>46</v>
      </c>
      <c r="F48" s="2">
        <f>SUM(F40:F47)</f>
        <v>5085.5680000000002</v>
      </c>
      <c r="G48" s="2">
        <f>SUM(G40:G47)</f>
        <v>5223.2510000000002</v>
      </c>
      <c r="H48" s="2">
        <f>SUM(H40:H47)</f>
        <v>5119.1559999999999</v>
      </c>
      <c r="I48" s="2">
        <f>SUM(I40:I47)</f>
        <v>5248.3329999999996</v>
      </c>
      <c r="J48" s="2">
        <f>SUM(J40:J47)</f>
        <v>5348.8549999999996</v>
      </c>
    </row>
    <row r="49" spans="1:10" x14ac:dyDescent="0.2">
      <c r="A49" t="s">
        <v>54</v>
      </c>
      <c r="F49" s="2">
        <v>71.760000000000005</v>
      </c>
      <c r="G49" s="2">
        <v>69.951999999999998</v>
      </c>
      <c r="H49" s="2">
        <v>65.498999999999995</v>
      </c>
      <c r="I49" s="2">
        <v>63.314999999999998</v>
      </c>
      <c r="J49" s="2">
        <v>60.084000000000003</v>
      </c>
    </row>
    <row r="50" spans="1:10" x14ac:dyDescent="0.2">
      <c r="A50" t="s">
        <v>55</v>
      </c>
      <c r="F50" s="2">
        <v>330.524</v>
      </c>
      <c r="G50" s="2">
        <v>295.53300000000002</v>
      </c>
      <c r="H50" s="2">
        <v>274.255</v>
      </c>
      <c r="I50" s="2">
        <v>282.89</v>
      </c>
      <c r="J50" s="2">
        <v>278.92</v>
      </c>
    </row>
    <row r="51" spans="1:10" x14ac:dyDescent="0.2">
      <c r="A51" t="s">
        <v>53</v>
      </c>
      <c r="F51" s="2">
        <f>1131.195+628.924</f>
        <v>1760.1189999999999</v>
      </c>
      <c r="G51" s="2">
        <f>1160.118+636.194</f>
        <v>1796.3119999999999</v>
      </c>
      <c r="H51" s="2">
        <f>1149.787+641.647</f>
        <v>1791.4340000000002</v>
      </c>
      <c r="I51" s="2">
        <f>1126.576+648.545</f>
        <v>1775.1210000000001</v>
      </c>
      <c r="J51" s="2">
        <f>1185.456+644.654</f>
        <v>1830.11</v>
      </c>
    </row>
    <row r="52" spans="1:10" x14ac:dyDescent="0.2">
      <c r="A52" t="s">
        <v>52</v>
      </c>
      <c r="F52" s="2">
        <v>2.9729999999999999</v>
      </c>
      <c r="G52" s="2">
        <v>3.4009999999999998</v>
      </c>
      <c r="H52" s="2">
        <v>3.883</v>
      </c>
      <c r="I52" s="2">
        <v>4.6369999999999996</v>
      </c>
      <c r="J52" s="2">
        <v>5.21</v>
      </c>
    </row>
    <row r="53" spans="1:10" x14ac:dyDescent="0.2">
      <c r="A53" t="s">
        <v>51</v>
      </c>
      <c r="F53" s="2">
        <v>267.7</v>
      </c>
      <c r="G53" s="2">
        <v>259.916</v>
      </c>
      <c r="H53" s="2">
        <v>250.077</v>
      </c>
      <c r="I53" s="2">
        <v>239.565</v>
      </c>
      <c r="J53" s="2">
        <v>235.001</v>
      </c>
    </row>
    <row r="54" spans="1:10" x14ac:dyDescent="0.2">
      <c r="A54" t="s">
        <v>50</v>
      </c>
      <c r="F54" s="2">
        <v>70.143000000000001</v>
      </c>
      <c r="G54" s="2">
        <v>72.578000000000003</v>
      </c>
      <c r="H54" s="2">
        <v>76.504999999999995</v>
      </c>
      <c r="I54" s="2">
        <v>82.572999999999993</v>
      </c>
      <c r="J54" s="2">
        <v>78.552999999999997</v>
      </c>
    </row>
    <row r="55" spans="1:10" x14ac:dyDescent="0.2">
      <c r="A55" t="s">
        <v>47</v>
      </c>
      <c r="F55" s="2">
        <f>SUM(F49:F54)</f>
        <v>2503.2189999999996</v>
      </c>
      <c r="G55" s="2">
        <f>SUM(G49:G54)</f>
        <v>2497.692</v>
      </c>
      <c r="H55" s="2">
        <f>SUM(H49:H54)</f>
        <v>2461.6530000000002</v>
      </c>
      <c r="I55" s="2">
        <f>SUM(I49:I54)</f>
        <v>2448.1010000000001</v>
      </c>
      <c r="J55" s="2">
        <f>SUM(J49:J54)</f>
        <v>2487.8780000000002</v>
      </c>
    </row>
    <row r="56" spans="1:10" x14ac:dyDescent="0.2">
      <c r="A56" t="s">
        <v>48</v>
      </c>
      <c r="F56" s="2">
        <f>+F48-F55</f>
        <v>2582.3490000000006</v>
      </c>
      <c r="G56" s="2">
        <f>+G48-G55</f>
        <v>2725.5590000000002</v>
      </c>
      <c r="H56" s="2">
        <f>+H48-H55</f>
        <v>2657.5029999999997</v>
      </c>
      <c r="I56" s="2">
        <f>+I48-I55</f>
        <v>2800.2319999999995</v>
      </c>
      <c r="J56" s="2">
        <f>+J48-J55</f>
        <v>2860.9769999999994</v>
      </c>
    </row>
    <row r="57" spans="1:10" x14ac:dyDescent="0.2">
      <c r="A57" t="s">
        <v>49</v>
      </c>
      <c r="F57" s="2">
        <f>+F56+F55</f>
        <v>5085.5680000000002</v>
      </c>
      <c r="G57" s="2">
        <f>+G56+G55</f>
        <v>5223.2510000000002</v>
      </c>
      <c r="H57" s="2">
        <f>+H56+H55</f>
        <v>5119.1559999999999</v>
      </c>
      <c r="I57" s="2">
        <f>+I56+I55</f>
        <v>5248.3329999999996</v>
      </c>
      <c r="J57" s="2">
        <f>+J56+J55</f>
        <v>5348.8549999999996</v>
      </c>
    </row>
    <row r="59" spans="1:10" x14ac:dyDescent="0.2">
      <c r="A59" t="s">
        <v>61</v>
      </c>
      <c r="F59" s="2">
        <f>+F25</f>
        <v>81.141999999999882</v>
      </c>
      <c r="G59" s="2">
        <f>+G25</f>
        <v>81.435999999999979</v>
      </c>
      <c r="H59" s="2">
        <f>+H25</f>
        <v>145.62400000000008</v>
      </c>
      <c r="I59" s="2">
        <f>+I25</f>
        <v>152.13399999999999</v>
      </c>
      <c r="J59" s="2">
        <f>+J25</f>
        <v>146.85399999999996</v>
      </c>
    </row>
    <row r="60" spans="1:10" x14ac:dyDescent="0.2">
      <c r="A60" t="s">
        <v>62</v>
      </c>
      <c r="F60" s="2">
        <v>72.402000000000001</v>
      </c>
      <c r="G60" s="2">
        <f>153.838-SUM(F60)</f>
        <v>81.435999999999993</v>
      </c>
      <c r="H60" s="2">
        <f>242.814-SUM(F60:G60)</f>
        <v>88.975999999999999</v>
      </c>
      <c r="I60" s="2">
        <f>394.948-SUM(F60:H60)</f>
        <v>152.13399999999999</v>
      </c>
      <c r="J60" s="2">
        <v>138.38200000000001</v>
      </c>
    </row>
    <row r="61" spans="1:10" x14ac:dyDescent="0.2">
      <c r="A61" t="s">
        <v>64</v>
      </c>
      <c r="F61" s="2">
        <v>62.874000000000002</v>
      </c>
      <c r="G61" s="2">
        <f>126.913-SUM(F61)</f>
        <v>64.038999999999987</v>
      </c>
      <c r="H61" s="2">
        <f>183.384-SUM(F61:G61)</f>
        <v>56.471000000000004</v>
      </c>
      <c r="I61" s="2">
        <f>236.65-SUM(F61:H61)</f>
        <v>53.26600000000002</v>
      </c>
      <c r="J61" s="2">
        <v>56.002000000000002</v>
      </c>
    </row>
    <row r="62" spans="1:10" x14ac:dyDescent="0.2">
      <c r="A62" t="s">
        <v>63</v>
      </c>
      <c r="F62" s="2">
        <v>27.472000000000001</v>
      </c>
      <c r="G62" s="2">
        <f>54.817-SUM(F62)</f>
        <v>27.344999999999999</v>
      </c>
      <c r="H62" s="2">
        <f>83.173-SUM(F62:G62)</f>
        <v>28.356000000000002</v>
      </c>
      <c r="I62" s="2">
        <f>112.702-SUM(F62:H62)</f>
        <v>29.528999999999996</v>
      </c>
      <c r="J62" s="2">
        <v>29.265999999999998</v>
      </c>
    </row>
    <row r="63" spans="1:10" x14ac:dyDescent="0.2">
      <c r="A63" t="s">
        <v>51</v>
      </c>
      <c r="F63" s="2">
        <v>10.167</v>
      </c>
      <c r="G63" s="2">
        <f>20.231-SUM(F63)</f>
        <v>10.064000000000002</v>
      </c>
      <c r="H63" s="2">
        <f>29.977-SUM(F63:G63)</f>
        <v>9.7459999999999987</v>
      </c>
      <c r="I63" s="2">
        <f>38.528-SUM(F63:H63)</f>
        <v>8.5509999999999984</v>
      </c>
      <c r="J63" s="2">
        <v>8.3919999999999995</v>
      </c>
    </row>
    <row r="64" spans="1:10" x14ac:dyDescent="0.2">
      <c r="A64" t="s">
        <v>52</v>
      </c>
      <c r="F64" s="2">
        <v>-25.07</v>
      </c>
      <c r="G64" s="2">
        <f>+-49.492-SUM(F64)</f>
        <v>-24.421999999999997</v>
      </c>
      <c r="H64" s="2">
        <f>+-85.091-SUM(F64:G64)</f>
        <v>-35.598999999999997</v>
      </c>
      <c r="I64" s="2">
        <f>+-108.521-SUM(F64:H64)</f>
        <v>-23.430000000000007</v>
      </c>
      <c r="J64" s="2">
        <v>-11.202999999999999</v>
      </c>
    </row>
    <row r="65" spans="1:10" x14ac:dyDescent="0.2">
      <c r="A65" t="s">
        <v>77</v>
      </c>
      <c r="F65" s="2">
        <v>0</v>
      </c>
      <c r="G65" s="2">
        <v>0</v>
      </c>
      <c r="H65" s="2">
        <v>3.4550000000000001</v>
      </c>
      <c r="I65" s="2">
        <f>3.455-SUM(F65:H65)</f>
        <v>0</v>
      </c>
    </row>
    <row r="66" spans="1:10" x14ac:dyDescent="0.2">
      <c r="A66" t="s">
        <v>50</v>
      </c>
      <c r="F66" s="2">
        <v>0.35799999999999998</v>
      </c>
      <c r="G66" s="2">
        <f>1.878-SUM(F66)</f>
        <v>1.52</v>
      </c>
      <c r="H66" s="2">
        <f>2.137-SUM(F66:G66)</f>
        <v>0.2589999999999999</v>
      </c>
      <c r="I66" s="2">
        <f>1.372-SUM(F66:H66)</f>
        <v>-0.7649999999999999</v>
      </c>
      <c r="J66" s="2">
        <v>0.72199999999999998</v>
      </c>
    </row>
    <row r="67" spans="1:10" x14ac:dyDescent="0.2">
      <c r="A67" t="s">
        <v>65</v>
      </c>
      <c r="F67" s="2">
        <f>+-15.837+9.168-20.602-1.252-19.981+68.54-10.608</f>
        <v>9.4280000000000008</v>
      </c>
      <c r="G67" s="2">
        <f>+-14.317+17.62-43.547+9.354-59.534+102.933-22.14-SUM(F67)</f>
        <v>-19.059000000000001</v>
      </c>
      <c r="H67" s="2">
        <f>31.507+22.263-47.488+13.231-79.608+98.054-34.2-SUM(F67:G67)</f>
        <v>13.39</v>
      </c>
      <c r="I67" s="2">
        <f>16.704+32.491-64.959+16.591-63.1+81.741-45.193-SUM(F67:H67)</f>
        <v>-29.484000000000002</v>
      </c>
      <c r="J67" s="2">
        <f>+-58.713+0.034-32.164+2.949-13.447+54.99-9.892</f>
        <v>-56.243000000000009</v>
      </c>
    </row>
    <row r="68" spans="1:10" x14ac:dyDescent="0.2">
      <c r="A68" t="s">
        <v>66</v>
      </c>
      <c r="F68" s="2">
        <f>SUM(F60:F67)</f>
        <v>157.63100000000003</v>
      </c>
      <c r="G68" s="2">
        <f>SUM(G60:G67)</f>
        <v>140.92299999999997</v>
      </c>
      <c r="H68" s="2">
        <f>SUM(H60:H67)</f>
        <v>165.05400000000003</v>
      </c>
      <c r="I68" s="2">
        <f>SUM(I60:I67)</f>
        <v>189.80099999999999</v>
      </c>
      <c r="J68" s="2">
        <f>SUM(J60:J67)</f>
        <v>165.31799999999998</v>
      </c>
    </row>
    <row r="70" spans="1:10" x14ac:dyDescent="0.2">
      <c r="A70" t="s">
        <v>60</v>
      </c>
      <c r="F70" s="2">
        <f>+-0.68+63.519+12.167</f>
        <v>75.006</v>
      </c>
      <c r="G70" s="2">
        <f>+-0.689+95.773+16.085-SUM(F70)</f>
        <v>36.163000000000011</v>
      </c>
      <c r="H70" s="2">
        <f>+-1.789+103.513+16.085-SUM(F70:G70)</f>
        <v>6.6399999999999864</v>
      </c>
      <c r="I70" s="2">
        <f>+-1.789+111.33+16.085-SUM(F70:H70)</f>
        <v>7.8170000000000073</v>
      </c>
      <c r="J70" s="2">
        <f>+-1+2.913</f>
        <v>1.9129999999999998</v>
      </c>
    </row>
    <row r="71" spans="1:10" x14ac:dyDescent="0.2">
      <c r="A71" t="s">
        <v>67</v>
      </c>
      <c r="F71" s="2">
        <v>-13.103999999999999</v>
      </c>
      <c r="G71" s="2">
        <f>+-23.793-SUM(F71)</f>
        <v>-10.689</v>
      </c>
      <c r="H71" s="2">
        <f>+-38.802-SUM(F71:G71)</f>
        <v>-15.009</v>
      </c>
      <c r="I71" s="2">
        <f>+-54.184-SUM(F71:H71)</f>
        <v>-15.381999999999998</v>
      </c>
      <c r="J71" s="2">
        <v>-9.048</v>
      </c>
    </row>
    <row r="72" spans="1:10" x14ac:dyDescent="0.2">
      <c r="A72" t="s">
        <v>68</v>
      </c>
      <c r="F72" s="2">
        <v>0</v>
      </c>
      <c r="G72" s="2">
        <f>+-35.006-SUM(F72)</f>
        <v>-35.006</v>
      </c>
      <c r="H72" s="2">
        <f>+-35.049-SUM(F72:G72)</f>
        <v>-4.2999999999999261E-2</v>
      </c>
      <c r="I72" s="2">
        <f>+-35.049-SUM(F72:H72)</f>
        <v>0</v>
      </c>
      <c r="J72" s="2">
        <v>0</v>
      </c>
    </row>
    <row r="73" spans="1:10" x14ac:dyDescent="0.2">
      <c r="A73" t="s">
        <v>69</v>
      </c>
      <c r="F73" s="2">
        <f>SUM(F70:F72)</f>
        <v>61.902000000000001</v>
      </c>
      <c r="G73" s="2">
        <f>SUM(G70:G72)</f>
        <v>-9.5319999999999894</v>
      </c>
      <c r="H73" s="2">
        <f>SUM(H70:H72)</f>
        <v>-8.4120000000000132</v>
      </c>
      <c r="I73" s="2">
        <f>SUM(I70:I72)</f>
        <v>-7.5649999999999906</v>
      </c>
      <c r="J73" s="2">
        <f>SUM(J70:J72)</f>
        <v>-7.1349999999999998</v>
      </c>
    </row>
    <row r="74" spans="1:10" x14ac:dyDescent="0.2">
      <c r="I74" s="2">
        <f>SUM(F73:I73)</f>
        <v>36.393000000000008</v>
      </c>
    </row>
    <row r="75" spans="1:10" x14ac:dyDescent="0.2">
      <c r="A75" t="s">
        <v>70</v>
      </c>
      <c r="F75" s="2">
        <v>22.18</v>
      </c>
      <c r="G75" s="2">
        <f>22.461-SUM(F75)</f>
        <v>0.28099999999999881</v>
      </c>
      <c r="H75" s="2">
        <f>59.497-SUM(F75:G75)</f>
        <v>37.036000000000001</v>
      </c>
      <c r="I75" s="2">
        <f>59.959-SUM(F75:H75)</f>
        <v>0.4620000000000033</v>
      </c>
      <c r="J75" s="2">
        <v>21.876000000000001</v>
      </c>
    </row>
    <row r="76" spans="1:10" x14ac:dyDescent="0.2">
      <c r="A76" t="s">
        <v>71</v>
      </c>
      <c r="F76" s="2">
        <v>-40.005000000000003</v>
      </c>
      <c r="G76" s="2">
        <f>+-40.005-SUM(F76)</f>
        <v>0</v>
      </c>
      <c r="H76" s="2">
        <f>+-290.041-SUM(F76:G76)</f>
        <v>-250.036</v>
      </c>
      <c r="I76" s="2">
        <f>+-350.049-SUM(F76:H76)</f>
        <v>-60.007999999999981</v>
      </c>
      <c r="J76" s="2">
        <v>-150.018</v>
      </c>
    </row>
    <row r="77" spans="1:10" x14ac:dyDescent="0.2">
      <c r="A77" t="s">
        <v>7</v>
      </c>
      <c r="F77" s="2">
        <v>-350</v>
      </c>
      <c r="G77" s="2">
        <f>+-350-SUM(F77)</f>
        <v>0</v>
      </c>
      <c r="H77" s="2">
        <f>+-350-SUM(F77:G77)</f>
        <v>0</v>
      </c>
      <c r="I77" s="2">
        <f>+-350-SUM(F77:H77)</f>
        <v>0</v>
      </c>
      <c r="J77" s="2">
        <v>0</v>
      </c>
    </row>
    <row r="78" spans="1:10" x14ac:dyDescent="0.2">
      <c r="A78" t="s">
        <v>72</v>
      </c>
      <c r="F78" s="2">
        <v>-7.0369999999999999</v>
      </c>
      <c r="G78" s="2">
        <f>+-9.825-SUM(F78)</f>
        <v>-2.7879999999999994</v>
      </c>
      <c r="H78" s="2">
        <f>+-11.369-SUM(F78:G78)</f>
        <v>-1.5440000000000005</v>
      </c>
      <c r="I78" s="2">
        <f>-13.209-SUM(F78:H78)</f>
        <v>-1.8399999999999999</v>
      </c>
      <c r="J78" s="2">
        <v>-6.83</v>
      </c>
    </row>
    <row r="79" spans="1:10" x14ac:dyDescent="0.2">
      <c r="A79" t="s">
        <v>73</v>
      </c>
      <c r="F79" s="2">
        <f>SUM(F75:F78)</f>
        <v>-374.86199999999997</v>
      </c>
      <c r="G79" s="2">
        <f>SUM(G75:G78)</f>
        <v>-2.5070000000000006</v>
      </c>
      <c r="H79" s="2">
        <f>SUM(H75:H78)</f>
        <v>-214.54400000000001</v>
      </c>
      <c r="I79" s="2">
        <f>SUM(I75:I78)</f>
        <v>-61.385999999999981</v>
      </c>
      <c r="J79" s="2">
        <f>SUM(J75:J78)</f>
        <v>-134.97200000000001</v>
      </c>
    </row>
    <row r="81" spans="1:10" x14ac:dyDescent="0.2">
      <c r="A81" t="s">
        <v>74</v>
      </c>
      <c r="F81" s="2">
        <v>3.0790000000000002</v>
      </c>
      <c r="G81" s="2">
        <f>3.079-SUM(F81)</f>
        <v>0</v>
      </c>
      <c r="H81" s="2">
        <f>3.729-SUM(F81:G81)</f>
        <v>0.64999999999999991</v>
      </c>
      <c r="I81" s="2">
        <f>2.125-SUM(F81:H81)</f>
        <v>-1.6040000000000001</v>
      </c>
      <c r="J81" s="2">
        <v>2.2639999999999998</v>
      </c>
    </row>
    <row r="82" spans="1:10" x14ac:dyDescent="0.2">
      <c r="A82" t="s">
        <v>75</v>
      </c>
      <c r="F82" s="2">
        <f>+F68+F73+F79+F81</f>
        <v>-152.24999999999994</v>
      </c>
      <c r="G82" s="2">
        <f>+G68+G73+G79+G81</f>
        <v>128.88399999999999</v>
      </c>
      <c r="H82" s="2">
        <f>+H68+H73+H79+H81</f>
        <v>-57.251999999999988</v>
      </c>
      <c r="I82" s="2">
        <f>+I68+I73+I79+I81</f>
        <v>119.24600000000001</v>
      </c>
      <c r="J82" s="2">
        <f>+J68+J73+J79+J81</f>
        <v>25.474999999999984</v>
      </c>
    </row>
    <row r="84" spans="1:10" x14ac:dyDescent="0.2">
      <c r="A84" s="16" t="s">
        <v>94</v>
      </c>
      <c r="F84" s="2">
        <f>+F68+F71</f>
        <v>144.52700000000004</v>
      </c>
      <c r="G84" s="2">
        <f>+G68+G71</f>
        <v>130.23399999999998</v>
      </c>
      <c r="H84" s="2">
        <f>+H68+H71</f>
        <v>150.04500000000002</v>
      </c>
      <c r="I84" s="2">
        <f>+I68+I71</f>
        <v>174.41899999999998</v>
      </c>
      <c r="J84" s="2">
        <f>+J68+J71</f>
        <v>156.26999999999998</v>
      </c>
    </row>
    <row r="85" spans="1:10" x14ac:dyDescent="0.2">
      <c r="A85" s="15" t="s">
        <v>95</v>
      </c>
      <c r="I85" s="2">
        <f>+SUM(F84:I84)</f>
        <v>599.22500000000002</v>
      </c>
      <c r="J85" s="2">
        <f>+SUM(G84:J84)</f>
        <v>610.96799999999996</v>
      </c>
    </row>
    <row r="87" spans="1:10" x14ac:dyDescent="0.2">
      <c r="A87" t="s">
        <v>76</v>
      </c>
      <c r="F87" s="2">
        <f>+F68+F71-F61</f>
        <v>81.653000000000048</v>
      </c>
      <c r="G87" s="2">
        <f>+G68+G71-G61</f>
        <v>66.194999999999993</v>
      </c>
      <c r="H87" s="2">
        <f>+H68+H71-H61</f>
        <v>93.574000000000012</v>
      </c>
      <c r="I87" s="2">
        <f>+I68+I71-I61</f>
        <v>121.15299999999996</v>
      </c>
      <c r="J87" s="2">
        <f>+J68+J71-J61</f>
        <v>100.26799999999997</v>
      </c>
    </row>
    <row r="91" spans="1:10" s="7" customFormat="1" x14ac:dyDescent="0.2"/>
  </sheetData>
  <pageMargins left="0.7" right="0.7" top="0.75" bottom="0.75" header="0.3" footer="0.3"/>
  <ignoredErrors>
    <ignoredError sqref="Q12:Q13 Q17:Q22 Q24 R12:R13 R24 R17:R22 R15" formulaRange="1"/>
    <ignoredError sqref="Q14:Q16 Q23 R16 R23 R14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2024-03-29T18:41:22Z</dcterms:created>
  <dcterms:modified xsi:type="dcterms:W3CDTF">2024-05-08T12:00:29Z</dcterms:modified>
</cp:coreProperties>
</file>