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Food Major Diversified\"/>
    </mc:Choice>
  </mc:AlternateContent>
  <xr:revisionPtr revIDLastSave="0" documentId="13_ncr:1_{2C8EA449-C286-490C-9D93-70879C7E6E75}" xr6:coauthVersionLast="47" xr6:coauthVersionMax="47" xr10:uidLastSave="{00000000-0000-0000-0000-000000000000}"/>
  <bookViews>
    <workbookView xWindow="31170" yWindow="240" windowWidth="13950" windowHeight="15300" activeTab="1" xr2:uid="{BAFDDC02-FC8C-436D-ACED-F21157E2363D}"/>
  </bookViews>
  <sheets>
    <sheet name="Main" sheetId="1" r:id="rId1"/>
    <sheet name="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0" i="2" l="1"/>
  <c r="AE27" i="2"/>
  <c r="P27" i="2"/>
  <c r="P28" i="2"/>
  <c r="AE8" i="2"/>
  <c r="AT21" i="2"/>
  <c r="AS21" i="2"/>
  <c r="AR21" i="2"/>
  <c r="AQ21" i="2"/>
  <c r="AP21" i="2"/>
  <c r="AV11" i="2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AS13" i="2"/>
  <c r="AR13" i="2"/>
  <c r="AR10" i="2"/>
  <c r="AQ10" i="2"/>
  <c r="AR8" i="2"/>
  <c r="AQ8" i="2"/>
  <c r="AP28" i="2"/>
  <c r="AP13" i="2"/>
  <c r="AQ13" i="2" s="1"/>
  <c r="AT13" i="2" s="1"/>
  <c r="AP8" i="2"/>
  <c r="AP7" i="2"/>
  <c r="AP9" i="2" s="1"/>
  <c r="AP6" i="2"/>
  <c r="AP16" i="2" s="1"/>
  <c r="AP5" i="2"/>
  <c r="AP15" i="2" s="1"/>
  <c r="AQ3" i="2"/>
  <c r="AP3" i="2"/>
  <c r="AP4" i="2" s="1"/>
  <c r="AP2" i="2"/>
  <c r="AQ2" i="2" s="1"/>
  <c r="AR2" i="2" s="1"/>
  <c r="AS2" i="2" s="1"/>
  <c r="AT2" i="2" s="1"/>
  <c r="Q5" i="2"/>
  <c r="Q4" i="2"/>
  <c r="Q3" i="2"/>
  <c r="AG3" i="2"/>
  <c r="AH3" i="2" s="1"/>
  <c r="AI3" i="2" s="1"/>
  <c r="AJ3" i="2" s="1"/>
  <c r="AK3" i="2" s="1"/>
  <c r="AL3" i="2" s="1"/>
  <c r="AM3" i="2" s="1"/>
  <c r="AN3" i="2" s="1"/>
  <c r="AO3" i="2" s="1"/>
  <c r="AF3" i="2"/>
  <c r="AE3" i="2"/>
  <c r="AW24" i="2"/>
  <c r="AD28" i="2"/>
  <c r="AF13" i="2"/>
  <c r="AG13" i="2" s="1"/>
  <c r="AE13" i="2"/>
  <c r="AP10" i="2" l="1"/>
  <c r="AP19" i="2" s="1"/>
  <c r="AQ5" i="2"/>
  <c r="AR3" i="2"/>
  <c r="AP17" i="2"/>
  <c r="AQ6" i="2"/>
  <c r="AQ16" i="2" s="1"/>
  <c r="AF6" i="2"/>
  <c r="AF16" i="2" s="1"/>
  <c r="AF21" i="2"/>
  <c r="AF5" i="2"/>
  <c r="AF4" i="2" s="1"/>
  <c r="AH13" i="2"/>
  <c r="AR6" i="2" l="1"/>
  <c r="AR16" i="2" s="1"/>
  <c r="AS3" i="2"/>
  <c r="AR5" i="2"/>
  <c r="AP11" i="2"/>
  <c r="AQ15" i="2"/>
  <c r="AQ7" i="2"/>
  <c r="AQ4" i="2"/>
  <c r="AG6" i="2"/>
  <c r="AG16" i="2" s="1"/>
  <c r="AG5" i="2"/>
  <c r="AG4" i="2" s="1"/>
  <c r="AG21" i="2"/>
  <c r="AF15" i="2"/>
  <c r="AF7" i="2"/>
  <c r="AI13" i="2"/>
  <c r="AQ9" i="2" l="1"/>
  <c r="AQ17" i="2"/>
  <c r="AP18" i="2"/>
  <c r="AP12" i="2"/>
  <c r="AR15" i="2"/>
  <c r="AR7" i="2"/>
  <c r="AT3" i="2"/>
  <c r="AS6" i="2"/>
  <c r="AS16" i="2" s="1"/>
  <c r="AS5" i="2"/>
  <c r="AR4" i="2"/>
  <c r="AF17" i="2"/>
  <c r="AG15" i="2"/>
  <c r="AG7" i="2"/>
  <c r="AG17" i="2" s="1"/>
  <c r="AH21" i="2"/>
  <c r="AH5" i="2"/>
  <c r="AH4" i="2" s="1"/>
  <c r="AH6" i="2"/>
  <c r="AH16" i="2" s="1"/>
  <c r="AJ13" i="2"/>
  <c r="AS15" i="2" l="1"/>
  <c r="AS7" i="2"/>
  <c r="AT6" i="2"/>
  <c r="AT16" i="2" s="1"/>
  <c r="AT5" i="2"/>
  <c r="AT4" i="2"/>
  <c r="AS4" i="2"/>
  <c r="AR17" i="2"/>
  <c r="AR9" i="2"/>
  <c r="AQ19" i="2"/>
  <c r="AH15" i="2"/>
  <c r="AH7" i="2"/>
  <c r="AH17" i="2" s="1"/>
  <c r="AI5" i="2"/>
  <c r="AI4" i="2" s="1"/>
  <c r="AI6" i="2"/>
  <c r="AI16" i="2" s="1"/>
  <c r="AI21" i="2"/>
  <c r="AK13" i="2"/>
  <c r="AQ11" i="2" l="1"/>
  <c r="AQ28" i="2" s="1"/>
  <c r="AR19" i="2"/>
  <c r="AT7" i="2"/>
  <c r="AT15" i="2"/>
  <c r="AS17" i="2"/>
  <c r="AJ21" i="2"/>
  <c r="AJ6" i="2"/>
  <c r="AJ16" i="2" s="1"/>
  <c r="AJ5" i="2"/>
  <c r="AI15" i="2"/>
  <c r="AI7" i="2"/>
  <c r="AI17" i="2" s="1"/>
  <c r="AL13" i="2"/>
  <c r="AT17" i="2" l="1"/>
  <c r="AR11" i="2"/>
  <c r="AR28" i="2" s="1"/>
  <c r="AS8" i="2" s="1"/>
  <c r="AQ12" i="2"/>
  <c r="AQ18" i="2"/>
  <c r="AK21" i="2"/>
  <c r="AK6" i="2"/>
  <c r="AK16" i="2" s="1"/>
  <c r="AK5" i="2"/>
  <c r="AK4" i="2"/>
  <c r="AJ7" i="2"/>
  <c r="AJ17" i="2" s="1"/>
  <c r="AJ15" i="2"/>
  <c r="AJ4" i="2"/>
  <c r="AM13" i="2"/>
  <c r="AR18" i="2" l="1"/>
  <c r="AR12" i="2"/>
  <c r="AK7" i="2"/>
  <c r="AK17" i="2" s="1"/>
  <c r="AK15" i="2"/>
  <c r="AL21" i="2"/>
  <c r="AL5" i="2"/>
  <c r="AL6" i="2"/>
  <c r="AL16" i="2" s="1"/>
  <c r="AL4" i="2"/>
  <c r="AN13" i="2"/>
  <c r="AL7" i="2" l="1"/>
  <c r="AL17" i="2" s="1"/>
  <c r="AL15" i="2"/>
  <c r="AM21" i="2"/>
  <c r="AM5" i="2"/>
  <c r="AM6" i="2"/>
  <c r="AM16" i="2" s="1"/>
  <c r="AM4" i="2"/>
  <c r="AO13" i="2"/>
  <c r="AM7" i="2" l="1"/>
  <c r="AM17" i="2" s="1"/>
  <c r="AM15" i="2"/>
  <c r="AN5" i="2"/>
  <c r="AN6" i="2"/>
  <c r="AN16" i="2" s="1"/>
  <c r="AN21" i="2"/>
  <c r="AN7" i="2" l="1"/>
  <c r="AN17" i="2" s="1"/>
  <c r="AN15" i="2"/>
  <c r="AN4" i="2"/>
  <c r="AO5" i="2"/>
  <c r="AO21" i="2"/>
  <c r="AO6" i="2"/>
  <c r="AO16" i="2" s="1"/>
  <c r="AO7" i="2" l="1"/>
  <c r="AO17" i="2" s="1"/>
  <c r="AO15" i="2"/>
  <c r="AO4" i="2"/>
  <c r="AE6" i="2" l="1"/>
  <c r="AE16" i="2" s="1"/>
  <c r="AE4" i="2"/>
  <c r="AE5" i="2" s="1"/>
  <c r="AE15" i="2" s="1"/>
  <c r="R15" i="2"/>
  <c r="R5" i="2"/>
  <c r="R4" i="2" s="1"/>
  <c r="Q15" i="2"/>
  <c r="AE21" i="2"/>
  <c r="R3" i="2"/>
  <c r="H12" i="1"/>
  <c r="H11" i="1"/>
  <c r="H10" i="1"/>
  <c r="H9" i="1"/>
  <c r="H8" i="1"/>
  <c r="H7" i="1"/>
  <c r="H6" i="1"/>
  <c r="H5" i="1"/>
  <c r="H4" i="1"/>
  <c r="G13" i="1"/>
  <c r="C8" i="1"/>
  <c r="D7" i="1" s="1"/>
  <c r="AC25" i="2"/>
  <c r="AB25" i="2"/>
  <c r="AA25" i="2"/>
  <c r="Z25" i="2"/>
  <c r="Y25" i="2"/>
  <c r="X25" i="2"/>
  <c r="W25" i="2"/>
  <c r="V25" i="2"/>
  <c r="U25" i="2"/>
  <c r="AC24" i="2"/>
  <c r="AB24" i="2"/>
  <c r="AA24" i="2"/>
  <c r="Z24" i="2"/>
  <c r="Y24" i="2"/>
  <c r="X24" i="2"/>
  <c r="W24" i="2"/>
  <c r="V24" i="2"/>
  <c r="U24" i="2"/>
  <c r="AC23" i="2"/>
  <c r="AB23" i="2"/>
  <c r="AA23" i="2"/>
  <c r="Z23" i="2"/>
  <c r="Y23" i="2"/>
  <c r="X23" i="2"/>
  <c r="W23" i="2"/>
  <c r="V23" i="2"/>
  <c r="U23" i="2"/>
  <c r="AC22" i="2"/>
  <c r="AB22" i="2"/>
  <c r="AA22" i="2"/>
  <c r="Z22" i="2"/>
  <c r="Y22" i="2"/>
  <c r="X22" i="2"/>
  <c r="W22" i="2"/>
  <c r="V22" i="2"/>
  <c r="U22" i="2"/>
  <c r="AD25" i="2"/>
  <c r="AD24" i="2"/>
  <c r="AD23" i="2"/>
  <c r="AD22" i="2"/>
  <c r="O25" i="2"/>
  <c r="N25" i="2"/>
  <c r="M25" i="2"/>
  <c r="L25" i="2"/>
  <c r="K25" i="2"/>
  <c r="J25" i="2"/>
  <c r="I25" i="2"/>
  <c r="H25" i="2"/>
  <c r="G25" i="2"/>
  <c r="O24" i="2"/>
  <c r="N24" i="2"/>
  <c r="M24" i="2"/>
  <c r="L24" i="2"/>
  <c r="K24" i="2"/>
  <c r="J24" i="2"/>
  <c r="I24" i="2"/>
  <c r="H24" i="2"/>
  <c r="G24" i="2"/>
  <c r="O23" i="2"/>
  <c r="N23" i="2"/>
  <c r="M23" i="2"/>
  <c r="L23" i="2"/>
  <c r="K23" i="2"/>
  <c r="J23" i="2"/>
  <c r="I23" i="2"/>
  <c r="H23" i="2"/>
  <c r="G23" i="2"/>
  <c r="O22" i="2"/>
  <c r="N22" i="2"/>
  <c r="M22" i="2"/>
  <c r="L22" i="2"/>
  <c r="K22" i="2"/>
  <c r="J22" i="2"/>
  <c r="I22" i="2"/>
  <c r="H22" i="2"/>
  <c r="G22" i="2"/>
  <c r="P25" i="2"/>
  <c r="P24" i="2"/>
  <c r="P23" i="2"/>
  <c r="P22" i="2"/>
  <c r="T13" i="2"/>
  <c r="T16" i="2"/>
  <c r="T5" i="2"/>
  <c r="T15" i="2" s="1"/>
  <c r="U21" i="2"/>
  <c r="U16" i="2"/>
  <c r="U5" i="2"/>
  <c r="U7" i="2" s="1"/>
  <c r="U9" i="2" s="1"/>
  <c r="U11" i="2" s="1"/>
  <c r="U12" i="2" s="1"/>
  <c r="U13" i="2"/>
  <c r="V13" i="2"/>
  <c r="V21" i="2"/>
  <c r="V16" i="2"/>
  <c r="V5" i="2"/>
  <c r="V7" i="2" s="1"/>
  <c r="AE7" i="2" l="1"/>
  <c r="D4" i="1"/>
  <c r="D5" i="1"/>
  <c r="D6" i="1"/>
  <c r="T7" i="2"/>
  <c r="T9" i="2" s="1"/>
  <c r="T19" i="2" s="1"/>
  <c r="U17" i="2"/>
  <c r="U15" i="2"/>
  <c r="U18" i="2"/>
  <c r="U19" i="2"/>
  <c r="V17" i="2"/>
  <c r="V9" i="2"/>
  <c r="V15" i="2"/>
  <c r="X13" i="2"/>
  <c r="W13" i="2"/>
  <c r="W21" i="2"/>
  <c r="W16" i="2"/>
  <c r="W5" i="2"/>
  <c r="W7" i="2" s="1"/>
  <c r="X21" i="2"/>
  <c r="X16" i="2"/>
  <c r="X5" i="2"/>
  <c r="X7" i="2" s="1"/>
  <c r="Y13" i="2"/>
  <c r="Y21" i="2"/>
  <c r="Y16" i="2"/>
  <c r="Y5" i="2"/>
  <c r="Y7" i="2" s="1"/>
  <c r="Z13" i="2"/>
  <c r="AA13" i="2"/>
  <c r="Z21" i="2"/>
  <c r="Z16" i="2"/>
  <c r="Z5" i="2"/>
  <c r="Z7" i="2" s="1"/>
  <c r="AE17" i="2" l="1"/>
  <c r="AE9" i="2"/>
  <c r="T17" i="2"/>
  <c r="T11" i="2"/>
  <c r="T18" i="2"/>
  <c r="T12" i="2"/>
  <c r="V19" i="2"/>
  <c r="V11" i="2"/>
  <c r="W9" i="2"/>
  <c r="W17" i="2"/>
  <c r="W15" i="2"/>
  <c r="X15" i="2"/>
  <c r="X17" i="2"/>
  <c r="X9" i="2"/>
  <c r="Y17" i="2"/>
  <c r="Y9" i="2"/>
  <c r="Y15" i="2"/>
  <c r="Z15" i="2"/>
  <c r="Z9" i="2"/>
  <c r="Z17" i="2"/>
  <c r="AC16" i="2"/>
  <c r="AB16" i="2"/>
  <c r="AA16" i="2"/>
  <c r="AD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6" i="2"/>
  <c r="AA21" i="2"/>
  <c r="AB13" i="2"/>
  <c r="AB10" i="2"/>
  <c r="AB8" i="2"/>
  <c r="AB6" i="2"/>
  <c r="AB4" i="2"/>
  <c r="AB3" i="2"/>
  <c r="AC13" i="2"/>
  <c r="AC10" i="2"/>
  <c r="AC8" i="2"/>
  <c r="AC6" i="2"/>
  <c r="AC4" i="2"/>
  <c r="AC3" i="2"/>
  <c r="AD21" i="2" s="1"/>
  <c r="AD10" i="2"/>
  <c r="AD8" i="2"/>
  <c r="AD6" i="2"/>
  <c r="AD4" i="2"/>
  <c r="AD3" i="2"/>
  <c r="C13" i="2"/>
  <c r="C5" i="2"/>
  <c r="C15" i="2" s="1"/>
  <c r="E13" i="2"/>
  <c r="E5" i="2"/>
  <c r="E7" i="2" s="1"/>
  <c r="F13" i="2"/>
  <c r="F5" i="2"/>
  <c r="F15" i="2" s="1"/>
  <c r="G13" i="2"/>
  <c r="G21" i="2"/>
  <c r="G5" i="2"/>
  <c r="G15" i="2" s="1"/>
  <c r="N21" i="2"/>
  <c r="P21" i="2"/>
  <c r="O21" i="2"/>
  <c r="M21" i="2"/>
  <c r="L21" i="2"/>
  <c r="I21" i="2"/>
  <c r="H21" i="2"/>
  <c r="J21" i="2"/>
  <c r="K21" i="2"/>
  <c r="I13" i="2"/>
  <c r="I5" i="2"/>
  <c r="I7" i="2" s="1"/>
  <c r="M13" i="2"/>
  <c r="M5" i="2"/>
  <c r="M15" i="2" s="1"/>
  <c r="J13" i="2"/>
  <c r="J5" i="2"/>
  <c r="J7" i="2" s="1"/>
  <c r="N13" i="2"/>
  <c r="N5" i="2"/>
  <c r="N15" i="2" s="1"/>
  <c r="K13" i="2"/>
  <c r="AD13" i="2" s="1"/>
  <c r="K5" i="2"/>
  <c r="K15" i="2" s="1"/>
  <c r="O13" i="2"/>
  <c r="O5" i="2"/>
  <c r="O7" i="2" s="1"/>
  <c r="D13" i="2"/>
  <c r="D5" i="2"/>
  <c r="D7" i="2" s="1"/>
  <c r="H13" i="2"/>
  <c r="H5" i="2"/>
  <c r="H15" i="2" s="1"/>
  <c r="L13" i="2"/>
  <c r="L5" i="2"/>
  <c r="L15" i="2" s="1"/>
  <c r="P13" i="2"/>
  <c r="P5" i="2"/>
  <c r="P15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E10" i="2" l="1"/>
  <c r="AE19" i="2" s="1"/>
  <c r="AE11" i="2"/>
  <c r="V18" i="2"/>
  <c r="V12" i="2"/>
  <c r="W19" i="2"/>
  <c r="W11" i="2"/>
  <c r="X19" i="2"/>
  <c r="X11" i="2"/>
  <c r="Y19" i="2"/>
  <c r="Y11" i="2"/>
  <c r="Z19" i="2"/>
  <c r="Z11" i="2"/>
  <c r="P7" i="2"/>
  <c r="AC5" i="2"/>
  <c r="AC21" i="2"/>
  <c r="AA5" i="2"/>
  <c r="AB21" i="2"/>
  <c r="AB5" i="2"/>
  <c r="AC15" i="2"/>
  <c r="AC7" i="2"/>
  <c r="AC17" i="2" s="1"/>
  <c r="AD5" i="2"/>
  <c r="AD15" i="2" s="1"/>
  <c r="AD7" i="2"/>
  <c r="C7" i="2"/>
  <c r="E17" i="2"/>
  <c r="E9" i="2"/>
  <c r="E15" i="2"/>
  <c r="F7" i="2"/>
  <c r="F17" i="2" s="1"/>
  <c r="G7" i="2"/>
  <c r="I17" i="2"/>
  <c r="I9" i="2"/>
  <c r="I15" i="2"/>
  <c r="M7" i="2"/>
  <c r="J17" i="2"/>
  <c r="J9" i="2"/>
  <c r="J15" i="2"/>
  <c r="N7" i="2"/>
  <c r="K7" i="2"/>
  <c r="K17" i="2" s="1"/>
  <c r="O15" i="2"/>
  <c r="O9" i="2"/>
  <c r="O17" i="2"/>
  <c r="D9" i="2"/>
  <c r="D17" i="2"/>
  <c r="D15" i="2"/>
  <c r="H7" i="2"/>
  <c r="H17" i="2" s="1"/>
  <c r="H9" i="2"/>
  <c r="L7" i="2"/>
  <c r="AE18" i="2" l="1"/>
  <c r="AE28" i="2"/>
  <c r="AE12" i="2"/>
  <c r="W12" i="2"/>
  <c r="W18" i="2"/>
  <c r="X18" i="2"/>
  <c r="X12" i="2"/>
  <c r="Y18" i="2"/>
  <c r="Y12" i="2"/>
  <c r="Z18" i="2"/>
  <c r="Z12" i="2"/>
  <c r="P17" i="2"/>
  <c r="P9" i="2"/>
  <c r="AA15" i="2"/>
  <c r="AA7" i="2"/>
  <c r="AB15" i="2"/>
  <c r="AB7" i="2"/>
  <c r="AC9" i="2"/>
  <c r="AD9" i="2"/>
  <c r="AD17" i="2"/>
  <c r="C9" i="2"/>
  <c r="C17" i="2"/>
  <c r="E19" i="2"/>
  <c r="E11" i="2"/>
  <c r="F9" i="2"/>
  <c r="F19" i="2" s="1"/>
  <c r="G9" i="2"/>
  <c r="G17" i="2"/>
  <c r="I19" i="2"/>
  <c r="I11" i="2"/>
  <c r="M17" i="2"/>
  <c r="M9" i="2"/>
  <c r="J19" i="2"/>
  <c r="J11" i="2"/>
  <c r="N17" i="2"/>
  <c r="N9" i="2"/>
  <c r="K9" i="2"/>
  <c r="K11" i="2" s="1"/>
  <c r="O19" i="2"/>
  <c r="O11" i="2"/>
  <c r="D19" i="2"/>
  <c r="D11" i="2"/>
  <c r="H19" i="2"/>
  <c r="H11" i="2"/>
  <c r="L17" i="2"/>
  <c r="L9" i="2"/>
  <c r="AF8" i="2" l="1"/>
  <c r="AF9" i="2" s="1"/>
  <c r="P11" i="2"/>
  <c r="P19" i="2"/>
  <c r="AA17" i="2"/>
  <c r="AA9" i="2"/>
  <c r="AB9" i="2"/>
  <c r="AB17" i="2"/>
  <c r="AC11" i="2"/>
  <c r="AC19" i="2"/>
  <c r="AD19" i="2"/>
  <c r="AD11" i="2"/>
  <c r="C19" i="2"/>
  <c r="C11" i="2"/>
  <c r="E12" i="2"/>
  <c r="E18" i="2"/>
  <c r="F11" i="2"/>
  <c r="F18" i="2" s="1"/>
  <c r="F12" i="2"/>
  <c r="G19" i="2"/>
  <c r="G11" i="2"/>
  <c r="I12" i="2"/>
  <c r="I18" i="2"/>
  <c r="M19" i="2"/>
  <c r="M11" i="2"/>
  <c r="L9" i="1" s="1"/>
  <c r="J18" i="2"/>
  <c r="J12" i="2"/>
  <c r="N19" i="2"/>
  <c r="N11" i="2"/>
  <c r="K19" i="2"/>
  <c r="K18" i="2"/>
  <c r="K12" i="2"/>
  <c r="O18" i="2"/>
  <c r="O12" i="2"/>
  <c r="D18" i="2"/>
  <c r="D12" i="2"/>
  <c r="H18" i="2"/>
  <c r="H12" i="2"/>
  <c r="L11" i="2"/>
  <c r="L19" i="2"/>
  <c r="AF10" i="2" l="1"/>
  <c r="AF19" i="2" s="1"/>
  <c r="AF11" i="2"/>
  <c r="P18" i="2"/>
  <c r="P12" i="2"/>
  <c r="AA11" i="2"/>
  <c r="AA19" i="2"/>
  <c r="AB11" i="2"/>
  <c r="AB19" i="2"/>
  <c r="AC18" i="2"/>
  <c r="AC12" i="2"/>
  <c r="AD18" i="2"/>
  <c r="AD12" i="2"/>
  <c r="C18" i="2"/>
  <c r="C12" i="2"/>
  <c r="G18" i="2"/>
  <c r="G12" i="2"/>
  <c r="M18" i="2"/>
  <c r="M12" i="2"/>
  <c r="N18" i="2"/>
  <c r="N12" i="2"/>
  <c r="L18" i="2"/>
  <c r="L12" i="2"/>
  <c r="AF18" i="2" l="1"/>
  <c r="AF12" i="2"/>
  <c r="AF28" i="2"/>
  <c r="AA18" i="2"/>
  <c r="AA12" i="2"/>
  <c r="AB18" i="2"/>
  <c r="AB12" i="2"/>
  <c r="AG8" i="2" l="1"/>
  <c r="AG9" i="2" s="1"/>
  <c r="L7" i="1"/>
  <c r="L3" i="1"/>
  <c r="L5" i="1" s="1"/>
  <c r="L8" i="1" s="1"/>
  <c r="AG10" i="2" l="1"/>
  <c r="AG19" i="2" s="1"/>
  <c r="L10" i="1"/>
  <c r="L11" i="1"/>
  <c r="AG11" i="2" l="1"/>
  <c r="AG18" i="2" l="1"/>
  <c r="AG12" i="2"/>
  <c r="AG28" i="2"/>
  <c r="AH8" i="2" l="1"/>
  <c r="AH9" i="2" s="1"/>
  <c r="AH10" i="2" l="1"/>
  <c r="AH19" i="2" s="1"/>
  <c r="AH11" i="2"/>
  <c r="AH18" i="2" l="1"/>
  <c r="AH12" i="2"/>
  <c r="AH28" i="2"/>
  <c r="AI8" i="2" l="1"/>
  <c r="AI9" i="2" s="1"/>
  <c r="AI10" i="2" l="1"/>
  <c r="AI19" i="2" s="1"/>
  <c r="AI11" i="2"/>
  <c r="AI18" i="2" l="1"/>
  <c r="AI12" i="2"/>
  <c r="AI28" i="2"/>
  <c r="AJ8" i="2" l="1"/>
  <c r="AJ9" i="2" s="1"/>
  <c r="AJ10" i="2" l="1"/>
  <c r="AJ19" i="2" s="1"/>
  <c r="AJ11" i="2" l="1"/>
  <c r="AJ18" i="2" l="1"/>
  <c r="AJ12" i="2"/>
  <c r="AJ28" i="2"/>
  <c r="AK8" i="2" l="1"/>
  <c r="AK9" i="2" s="1"/>
  <c r="AK10" i="2" l="1"/>
  <c r="AK19" i="2" s="1"/>
  <c r="AK11" i="2"/>
  <c r="AK12" i="2" l="1"/>
  <c r="AK18" i="2"/>
  <c r="AK28" i="2"/>
  <c r="AL8" i="2" l="1"/>
  <c r="AL9" i="2" s="1"/>
  <c r="AL10" i="2" l="1"/>
  <c r="AL19" i="2" s="1"/>
  <c r="AL11" i="2" l="1"/>
  <c r="AL18" i="2" s="1"/>
  <c r="AL12" i="2" l="1"/>
  <c r="AL28" i="2"/>
  <c r="AM8" i="2"/>
  <c r="AM9" i="2" s="1"/>
  <c r="AM10" i="2" l="1"/>
  <c r="AM19" i="2" s="1"/>
  <c r="AM11" i="2" l="1"/>
  <c r="AM18" i="2" s="1"/>
  <c r="AM28" i="2" l="1"/>
  <c r="AN8" i="2" s="1"/>
  <c r="AN9" i="2" s="1"/>
  <c r="AM12" i="2"/>
  <c r="AN10" i="2" l="1"/>
  <c r="AN19" i="2" s="1"/>
  <c r="AN11" i="2" l="1"/>
  <c r="AN18" i="2" s="1"/>
  <c r="AN28" i="2" l="1"/>
  <c r="AO8" i="2" s="1"/>
  <c r="AO9" i="2" s="1"/>
  <c r="AN12" i="2"/>
  <c r="AO10" i="2" l="1"/>
  <c r="AO19" i="2" s="1"/>
  <c r="AO11" i="2" l="1"/>
  <c r="AO18" i="2" l="1"/>
  <c r="AO28" i="2"/>
  <c r="AO12" i="2"/>
  <c r="AS9" i="2" l="1"/>
  <c r="AS10" i="2"/>
  <c r="AS11" i="2"/>
  <c r="AS28" i="2"/>
  <c r="AT8" i="2"/>
  <c r="AT9" i="2"/>
  <c r="AT10" i="2"/>
  <c r="AT11" i="2"/>
  <c r="AU11" i="2"/>
  <c r="AT12" i="2"/>
  <c r="AT18" i="2"/>
  <c r="AT19" i="2"/>
  <c r="AW23" i="2"/>
  <c r="AW25" i="2" s="1"/>
  <c r="AW26" i="2" s="1"/>
  <c r="AW28" i="2" s="1"/>
  <c r="AS19" i="2"/>
  <c r="AS12" i="2"/>
  <c r="AS18" i="2"/>
  <c r="AT28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<sst xmlns="http://schemas.openxmlformats.org/spreadsheetml/2006/main" count="107" uniqueCount="98">
  <si>
    <t>Price</t>
  </si>
  <si>
    <t>Shares</t>
  </si>
  <si>
    <t>MC</t>
  </si>
  <si>
    <t>Cash</t>
  </si>
  <si>
    <t>Debt</t>
  </si>
  <si>
    <t>EV</t>
  </si>
  <si>
    <t>Q224</t>
  </si>
  <si>
    <t>Revenue</t>
  </si>
  <si>
    <t>SG&amp;A</t>
  </si>
  <si>
    <t>COGS</t>
  </si>
  <si>
    <t>Gross profit</t>
  </si>
  <si>
    <t>Operating income</t>
  </si>
  <si>
    <t>Interest</t>
  </si>
  <si>
    <t>Pretax</t>
  </si>
  <si>
    <t>Taxes</t>
  </si>
  <si>
    <t>Net income</t>
  </si>
  <si>
    <t>EPS</t>
  </si>
  <si>
    <t>Revenue y/y</t>
  </si>
  <si>
    <t>Gross margin</t>
  </si>
  <si>
    <t>Operating margin</t>
  </si>
  <si>
    <t>Net margin</t>
  </si>
  <si>
    <t>Tax rate</t>
  </si>
  <si>
    <t>Q222</t>
  </si>
  <si>
    <t>Q322</t>
  </si>
  <si>
    <t>Q122</t>
  </si>
  <si>
    <t>Q422</t>
  </si>
  <si>
    <t>Q123</t>
  </si>
  <si>
    <t>Q223</t>
  </si>
  <si>
    <t>Q323</t>
  </si>
  <si>
    <t>Q423</t>
  </si>
  <si>
    <t>Q124</t>
  </si>
  <si>
    <t>Q324</t>
  </si>
  <si>
    <t>Q424</t>
  </si>
  <si>
    <t>Q225</t>
  </si>
  <si>
    <t>Q125</t>
  </si>
  <si>
    <t>Founded</t>
  </si>
  <si>
    <t>Headquarters</t>
  </si>
  <si>
    <t>CEO</t>
  </si>
  <si>
    <t>Jeff Harmening</t>
  </si>
  <si>
    <t xml:space="preserve">CFO </t>
  </si>
  <si>
    <t>Kofi Bruce</t>
  </si>
  <si>
    <t>CTO</t>
  </si>
  <si>
    <t>Jaime Montemayor</t>
  </si>
  <si>
    <t xml:space="preserve">Founded on the banks of the Mississippi River </t>
  </si>
  <si>
    <t>at Saint Anthony Falls in Minneapolis</t>
  </si>
  <si>
    <t>Originally gained fame for being a large flour miller</t>
  </si>
  <si>
    <t>Founders</t>
  </si>
  <si>
    <t>James Ford Bell, Robert Smith</t>
  </si>
  <si>
    <t>SG&amp;A margin</t>
  </si>
  <si>
    <t>Acquisition</t>
  </si>
  <si>
    <t>Blue Buffalo</t>
  </si>
  <si>
    <t>$8.0 billion</t>
  </si>
  <si>
    <t>Leading brand in the fast-growing wholesome natural pet food category in the U.S.</t>
  </si>
  <si>
    <t>Minneapolis, Minnesota, U.S.</t>
  </si>
  <si>
    <t>$6.0 billion in long-term debt, $1.0 billion in equity, and $1.0 billion cash on hand</t>
  </si>
  <si>
    <t>Equity financing by issuing 22.7 million shares of common stock on March 27, 2018</t>
  </si>
  <si>
    <t>Yield</t>
  </si>
  <si>
    <t>COGS y/y</t>
  </si>
  <si>
    <t>SG&amp;A y/y</t>
  </si>
  <si>
    <t>OpIn y/y</t>
  </si>
  <si>
    <t>NI y/y</t>
  </si>
  <si>
    <t>NX Pet Holding</t>
  </si>
  <si>
    <t>$1.4 billion</t>
  </si>
  <si>
    <t>Representing Whitebridge Pet Brands, premium cat feeding and pet treating business</t>
  </si>
  <si>
    <t>Except to close third quarter of fiscal 2025</t>
  </si>
  <si>
    <t>Divestitures</t>
  </si>
  <si>
    <t>Yogurt business</t>
  </si>
  <si>
    <t>to</t>
  </si>
  <si>
    <t>$2.1 billion</t>
  </si>
  <si>
    <t>Groupe Lactalis S.A. (Lactalis)</t>
  </si>
  <si>
    <t>Sodiaal International ( Sodiaal)</t>
  </si>
  <si>
    <t>Except to close in calendar year 2025</t>
  </si>
  <si>
    <r>
      <t xml:space="preserve">As </t>
    </r>
    <r>
      <rPr>
        <i/>
        <sz val="10"/>
        <color theme="1"/>
        <rFont val="arial"/>
        <family val="2"/>
      </rPr>
      <t xml:space="preserve">held for sale </t>
    </r>
    <r>
      <rPr>
        <sz val="10"/>
        <color theme="1"/>
        <rFont val="arial"/>
        <family val="2"/>
      </rPr>
      <t>in the balance sheet as of Nov 24, 2024</t>
    </r>
  </si>
  <si>
    <t>North America Retail</t>
  </si>
  <si>
    <t>International</t>
  </si>
  <si>
    <t>North America Pet</t>
  </si>
  <si>
    <t>North America Foodservice</t>
  </si>
  <si>
    <t>margin</t>
  </si>
  <si>
    <t>Total</t>
  </si>
  <si>
    <t>Snacks</t>
  </si>
  <si>
    <t>Cereal</t>
  </si>
  <si>
    <t>Dough</t>
  </si>
  <si>
    <t>Pet</t>
  </si>
  <si>
    <t>Yogurt</t>
  </si>
  <si>
    <t>Super-premium ice cream</t>
  </si>
  <si>
    <t>Other</t>
  </si>
  <si>
    <t>Baking mixes</t>
  </si>
  <si>
    <t>Convenient meals and ingredients</t>
  </si>
  <si>
    <t>Net sales by class Q225</t>
  </si>
  <si>
    <t>Net sales Q225</t>
  </si>
  <si>
    <t>ROIC</t>
  </si>
  <si>
    <t>Term</t>
  </si>
  <si>
    <t>Dis</t>
  </si>
  <si>
    <t>NPV</t>
  </si>
  <si>
    <t>Net cash</t>
  </si>
  <si>
    <t>Value</t>
  </si>
  <si>
    <t>Current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</si>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</sst>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3]d/mmm;@"/>
    <numFmt numFmtId="165" formatCode="0\x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9" fontId="0" fillId="0" borderId="8" xfId="0" applyNumberFormat="1" applyBorder="1"/>
    <xf numFmtId="0" fontId="0" fillId="0" borderId="2" xfId="0" applyBorder="1"/>
    <xf numFmtId="3" fontId="0" fillId="0" borderId="2" xfId="0" applyNumberFormat="1" applyBorder="1"/>
    <xf numFmtId="9" fontId="0" fillId="0" borderId="3" xfId="0" applyNumberFormat="1" applyBorder="1"/>
    <xf numFmtId="0" fontId="0" fillId="0" borderId="7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0</xdr:row>
      <xdr:rowOff>47625</xdr:rowOff>
    </xdr:from>
    <xdr:to>
      <xdr:col>16</xdr:col>
      <xdr:colOff>28575</xdr:colOff>
      <xdr:row>104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7A8BC77-3D37-6434-7C12-2794832479D8}"/>
            </a:ext>
          </a:extLst>
        </xdr:cNvPr>
        <xdr:cNvCxnSpPr/>
      </xdr:nvCxnSpPr>
      <xdr:spPr>
        <a:xfrm>
          <a:off x="9848850" y="47625"/>
          <a:ext cx="0" cy="1666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0</xdr:row>
      <xdr:rowOff>19050</xdr:rowOff>
    </xdr:from>
    <xdr:to>
      <xdr:col>30</xdr:col>
      <xdr:colOff>28575</xdr:colOff>
      <xdr:row>105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32CC7C8-813A-4697-9B8C-A84BB3E57734}"/>
            </a:ext>
          </a:extLst>
        </xdr:cNvPr>
        <xdr:cNvCxnSpPr/>
      </xdr:nvCxnSpPr>
      <xdr:spPr>
        <a:xfrm>
          <a:off x="18383250" y="19050"/>
          <a:ext cx="0" cy="16830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AllCompanies.xlsx" TargetMode="External"/><Relationship Id="rId1" Type="http://schemas.openxmlformats.org/officeDocument/2006/relationships/externalLinkPath" Target="/Users/denni/Desktop/CompanyResearchModels/AllCompan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ernet"/>
      <sheetName val="Semiconductors"/>
      <sheetName val="Food Major Diversified"/>
      <sheetName val="Home Builders"/>
      <sheetName val="Tech"/>
      <sheetName val="EU Tech"/>
      <sheetName val="Cybersecurity"/>
      <sheetName val="Sportswear"/>
      <sheetName val="Travel Service"/>
      <sheetName val="Medical Devices"/>
    </sheetNames>
    <sheetDataSet>
      <sheetData sheetId="0"/>
      <sheetData sheetId="1"/>
      <sheetData sheetId="2">
        <row r="4">
          <cell r="E4">
            <v>59.63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8054-5C0F-442E-B0C4-0F696DA88F68}">
  <dimension ref="B2:M29"/>
  <sheetViews>
    <sheetView topLeftCell="B1" workbookViewId="0">
      <selection activeCell="B15" sqref="B15"/>
    </sheetView>
  </sheetViews>
  <sheetFormatPr defaultRowHeight="12.75" x14ac:dyDescent="0.2"/>
  <cols>
    <col min="1" max="1" width="3.42578125" customWidth="1"/>
    <col min="2" max="2" width="23.7109375" customWidth="1"/>
    <col min="3" max="3" width="14.85546875" customWidth="1"/>
    <col min="4" max="4" width="10.42578125" customWidth="1"/>
    <col min="5" max="5" width="9.85546875" bestFit="1" customWidth="1"/>
    <col min="6" max="6" width="16.28515625" customWidth="1"/>
  </cols>
  <sheetData>
    <row r="2" spans="2:13" x14ac:dyDescent="0.2">
      <c r="B2" t="e" vm="1">
        <v>#VALUE!</v>
      </c>
    </row>
    <row r="3" spans="2:13" x14ac:dyDescent="0.2">
      <c r="B3" s="23" t="s">
        <v>89</v>
      </c>
      <c r="C3" s="24"/>
      <c r="D3" s="11" t="s">
        <v>77</v>
      </c>
      <c r="F3" s="23" t="s">
        <v>88</v>
      </c>
      <c r="G3" s="24"/>
      <c r="H3" s="11" t="s">
        <v>77</v>
      </c>
      <c r="K3" t="s">
        <v>0</v>
      </c>
      <c r="L3" s="2">
        <f>+'[1]Food Major Diversified'!$E$4</f>
        <v>59.63</v>
      </c>
    </row>
    <row r="4" spans="2:13" x14ac:dyDescent="0.2">
      <c r="B4" s="10" t="s">
        <v>73</v>
      </c>
      <c r="C4" s="19">
        <v>3321.5</v>
      </c>
      <c r="D4" s="20">
        <f>+C4/$C$8</f>
        <v>0.6341281811412971</v>
      </c>
      <c r="F4" s="10" t="s">
        <v>79</v>
      </c>
      <c r="G4" s="18">
        <v>1055</v>
      </c>
      <c r="H4" s="20">
        <f>+G4/$G$13</f>
        <v>0.20133203564817465</v>
      </c>
      <c r="K4" t="s">
        <v>1</v>
      </c>
      <c r="L4" s="1">
        <v>551.23125000000005</v>
      </c>
      <c r="M4" s="3" t="s">
        <v>6</v>
      </c>
    </row>
    <row r="5" spans="2:13" x14ac:dyDescent="0.2">
      <c r="B5" s="12" t="s">
        <v>74</v>
      </c>
      <c r="C5" s="1">
        <v>690.6</v>
      </c>
      <c r="D5" s="13">
        <f>+C5/$C$8</f>
        <v>0.13184673246911932</v>
      </c>
      <c r="F5" s="12" t="s">
        <v>80</v>
      </c>
      <c r="G5">
        <v>829.5</v>
      </c>
      <c r="H5" s="13">
        <f t="shared" ref="H5:H12" si="0">+G5/$G$13</f>
        <v>0.15829850575370699</v>
      </c>
      <c r="K5" t="s">
        <v>2</v>
      </c>
      <c r="L5" s="1">
        <f>+L3*L4</f>
        <v>32869.919437500001</v>
      </c>
      <c r="M5" s="3"/>
    </row>
    <row r="6" spans="2:13" x14ac:dyDescent="0.2">
      <c r="B6" s="12" t="s">
        <v>75</v>
      </c>
      <c r="C6" s="1">
        <v>595.79999999999995</v>
      </c>
      <c r="D6" s="13">
        <f>+C6/$C$8</f>
        <v>0.11374787605719849</v>
      </c>
      <c r="F6" s="12" t="s">
        <v>87</v>
      </c>
      <c r="G6">
        <v>795.1</v>
      </c>
      <c r="H6" s="13">
        <f t="shared" si="0"/>
        <v>0.15173374553920727</v>
      </c>
      <c r="K6" t="s">
        <v>3</v>
      </c>
      <c r="L6" s="1">
        <v>2292.8000000000002</v>
      </c>
      <c r="M6" s="3" t="s">
        <v>6</v>
      </c>
    </row>
    <row r="7" spans="2:13" x14ac:dyDescent="0.2">
      <c r="B7" s="14" t="s">
        <v>76</v>
      </c>
      <c r="C7" s="15">
        <v>630</v>
      </c>
      <c r="D7" s="17">
        <f>+C7/$C$8</f>
        <v>0.12027721033238513</v>
      </c>
      <c r="F7" s="12" t="s">
        <v>81</v>
      </c>
      <c r="G7">
        <v>722.6</v>
      </c>
      <c r="H7" s="13">
        <f t="shared" si="0"/>
        <v>0.13789813171504359</v>
      </c>
      <c r="K7" t="s">
        <v>4</v>
      </c>
      <c r="L7" s="1">
        <f>1821.5+264.3+12435.8</f>
        <v>14521.599999999999</v>
      </c>
      <c r="M7" s="3" t="s">
        <v>6</v>
      </c>
    </row>
    <row r="8" spans="2:13" x14ac:dyDescent="0.2">
      <c r="B8" s="14" t="s">
        <v>78</v>
      </c>
      <c r="C8" s="15">
        <f>+SUM(C4:C7)</f>
        <v>5237.8999999999996</v>
      </c>
      <c r="D8" s="16"/>
      <c r="F8" s="12" t="s">
        <v>82</v>
      </c>
      <c r="G8">
        <v>623.79999999999995</v>
      </c>
      <c r="H8" s="13">
        <f t="shared" si="0"/>
        <v>0.11904352970363159</v>
      </c>
      <c r="K8" t="s">
        <v>5</v>
      </c>
      <c r="L8" s="1">
        <f>+L5-L6+L7</f>
        <v>45098.719437499996</v>
      </c>
    </row>
    <row r="9" spans="2:13" x14ac:dyDescent="0.2">
      <c r="F9" s="12" t="s">
        <v>86</v>
      </c>
      <c r="G9">
        <v>577.20000000000005</v>
      </c>
      <c r="H9" s="13">
        <f t="shared" si="0"/>
        <v>0.11015056964561745</v>
      </c>
      <c r="L9" s="1">
        <f>+SUM(Model!M11:P11)</f>
        <v>2589.1999999999998</v>
      </c>
    </row>
    <row r="10" spans="2:13" x14ac:dyDescent="0.2">
      <c r="F10" s="12" t="s">
        <v>83</v>
      </c>
      <c r="G10">
        <v>377.8</v>
      </c>
      <c r="H10" s="13">
        <f t="shared" si="0"/>
        <v>7.2097860727848698E-2</v>
      </c>
      <c r="L10" s="8">
        <f>+L8/L9</f>
        <v>17.418013068708483</v>
      </c>
    </row>
    <row r="11" spans="2:13" x14ac:dyDescent="0.2">
      <c r="F11" s="12" t="s">
        <v>84</v>
      </c>
      <c r="G11">
        <v>163.6</v>
      </c>
      <c r="H11" s="13">
        <f t="shared" si="0"/>
        <v>3.12207782294231E-2</v>
      </c>
      <c r="K11" t="s">
        <v>56</v>
      </c>
      <c r="L11" s="4">
        <f>+L9/L8</f>
        <v>5.7411829699249871E-2</v>
      </c>
    </row>
    <row r="12" spans="2:13" x14ac:dyDescent="0.2">
      <c r="F12" s="14" t="s">
        <v>85</v>
      </c>
      <c r="G12" s="21">
        <v>95.5</v>
      </c>
      <c r="H12" s="17">
        <f t="shared" si="0"/>
        <v>1.8224843037346613E-2</v>
      </c>
    </row>
    <row r="13" spans="2:13" x14ac:dyDescent="0.2">
      <c r="F13" s="14" t="s">
        <v>78</v>
      </c>
      <c r="G13" s="21">
        <f>+SUM(G4:G12)</f>
        <v>5240.1000000000004</v>
      </c>
      <c r="H13" s="22"/>
      <c r="K13" t="s">
        <v>35</v>
      </c>
      <c r="L13">
        <v>1928</v>
      </c>
    </row>
    <row r="14" spans="2:13" x14ac:dyDescent="0.2">
      <c r="K14" t="s">
        <v>46</v>
      </c>
      <c r="L14" t="s">
        <v>47</v>
      </c>
    </row>
    <row r="15" spans="2:13" x14ac:dyDescent="0.2">
      <c r="K15" t="s">
        <v>36</v>
      </c>
      <c r="L15" t="s">
        <v>53</v>
      </c>
    </row>
    <row r="16" spans="2:13" x14ac:dyDescent="0.2">
      <c r="B16" s="9" t="s">
        <v>49</v>
      </c>
      <c r="K16" t="s">
        <v>37</v>
      </c>
      <c r="L16" t="s">
        <v>38</v>
      </c>
    </row>
    <row r="17" spans="2:12" x14ac:dyDescent="0.2">
      <c r="B17">
        <v>2025</v>
      </c>
      <c r="C17" t="s">
        <v>61</v>
      </c>
      <c r="D17" t="s">
        <v>62</v>
      </c>
      <c r="E17" t="s">
        <v>64</v>
      </c>
      <c r="K17" t="s">
        <v>39</v>
      </c>
      <c r="L17" t="s">
        <v>40</v>
      </c>
    </row>
    <row r="18" spans="2:12" x14ac:dyDescent="0.2">
      <c r="C18" t="s">
        <v>63</v>
      </c>
      <c r="K18" t="s">
        <v>41</v>
      </c>
      <c r="L18" t="s">
        <v>42</v>
      </c>
    </row>
    <row r="20" spans="2:12" x14ac:dyDescent="0.2">
      <c r="K20" t="s">
        <v>43</v>
      </c>
    </row>
    <row r="21" spans="2:12" x14ac:dyDescent="0.2">
      <c r="B21">
        <v>2018</v>
      </c>
      <c r="C21" t="s">
        <v>50</v>
      </c>
      <c r="D21" t="s">
        <v>51</v>
      </c>
      <c r="K21" t="s">
        <v>44</v>
      </c>
    </row>
    <row r="22" spans="2:12" x14ac:dyDescent="0.2">
      <c r="C22" t="s">
        <v>52</v>
      </c>
      <c r="D22" s="1"/>
      <c r="K22" t="s">
        <v>45</v>
      </c>
    </row>
    <row r="23" spans="2:12" x14ac:dyDescent="0.2">
      <c r="C23" t="s">
        <v>54</v>
      </c>
      <c r="D23" s="1"/>
    </row>
    <row r="24" spans="2:12" x14ac:dyDescent="0.2">
      <c r="C24" t="s">
        <v>55</v>
      </c>
    </row>
    <row r="26" spans="2:12" x14ac:dyDescent="0.2">
      <c r="B26" s="9" t="s">
        <v>65</v>
      </c>
    </row>
    <row r="27" spans="2:12" x14ac:dyDescent="0.2">
      <c r="B27">
        <v>2025</v>
      </c>
      <c r="C27" t="s">
        <v>66</v>
      </c>
      <c r="D27" t="s">
        <v>68</v>
      </c>
      <c r="E27" t="s">
        <v>71</v>
      </c>
    </row>
    <row r="28" spans="2:12" x14ac:dyDescent="0.2">
      <c r="B28" s="3" t="s">
        <v>67</v>
      </c>
      <c r="C28" t="s">
        <v>69</v>
      </c>
      <c r="E28" t="s">
        <v>72</v>
      </c>
    </row>
    <row r="29" spans="2:12" x14ac:dyDescent="0.2">
      <c r="C29" t="s">
        <v>70</v>
      </c>
    </row>
  </sheetData>
  <mergeCells count="2">
    <mergeCell ref="F3:G3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8647-F532-43FA-A808-DD25154694CC}">
  <dimension ref="B1:EL28"/>
  <sheetViews>
    <sheetView tabSelected="1" workbookViewId="0">
      <pane xSplit="2" ySplit="2" topLeftCell="AS3" activePane="bottomRight" state="frozen"/>
      <selection pane="topRight" activeCell="C1" sqref="C1"/>
      <selection pane="bottomLeft" activeCell="A3" sqref="A3"/>
      <selection pane="bottomRight" activeCell="AV29" sqref="AV29"/>
    </sheetView>
  </sheetViews>
  <sheetFormatPr defaultRowHeight="12.75" x14ac:dyDescent="0.2"/>
  <cols>
    <col min="1" max="1" width="3.5703125" customWidth="1"/>
    <col min="2" max="2" width="15.7109375" bestFit="1" customWidth="1"/>
  </cols>
  <sheetData>
    <row r="1" spans="2:142" s="7" customFormat="1" x14ac:dyDescent="0.2">
      <c r="C1" s="7">
        <v>45899</v>
      </c>
      <c r="D1" s="7">
        <v>45989</v>
      </c>
      <c r="E1" s="7">
        <v>45716</v>
      </c>
      <c r="F1" s="7">
        <v>45807</v>
      </c>
      <c r="G1" s="7">
        <v>45897</v>
      </c>
      <c r="H1" s="7">
        <v>45988</v>
      </c>
      <c r="I1" s="7">
        <v>45714</v>
      </c>
      <c r="J1" s="7">
        <v>45805</v>
      </c>
      <c r="K1" s="7">
        <v>45896</v>
      </c>
      <c r="L1" s="7">
        <v>45987</v>
      </c>
      <c r="M1" s="7">
        <v>45713</v>
      </c>
      <c r="N1" s="7">
        <v>45803</v>
      </c>
      <c r="O1" s="7">
        <v>45894</v>
      </c>
      <c r="P1" s="7">
        <v>45985</v>
      </c>
    </row>
    <row r="2" spans="2:142" x14ac:dyDescent="0.2">
      <c r="C2" s="3" t="s">
        <v>24</v>
      </c>
      <c r="D2" s="3" t="s">
        <v>22</v>
      </c>
      <c r="E2" s="3" t="s">
        <v>23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6</v>
      </c>
      <c r="M2" s="3" t="s">
        <v>31</v>
      </c>
      <c r="N2" s="3" t="s">
        <v>32</v>
      </c>
      <c r="O2" s="3" t="s">
        <v>34</v>
      </c>
      <c r="P2" s="3" t="s">
        <v>33</v>
      </c>
      <c r="Q2" s="3" t="s">
        <v>31</v>
      </c>
      <c r="R2" s="3" t="s">
        <v>32</v>
      </c>
      <c r="T2">
        <v>2014</v>
      </c>
      <c r="U2">
        <f>+T2+1</f>
        <v>2015</v>
      </c>
      <c r="V2">
        <f t="shared" ref="V2:AO2" si="0">+U2+1</f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  <c r="AP2">
        <f t="shared" ref="AP2" si="1">+AO2+1</f>
        <v>2036</v>
      </c>
      <c r="AQ2">
        <f t="shared" ref="AQ2" si="2">+AP2+1</f>
        <v>2037</v>
      </c>
      <c r="AR2">
        <f t="shared" ref="AR2" si="3">+AQ2+1</f>
        <v>2038</v>
      </c>
      <c r="AS2">
        <f t="shared" ref="AS2" si="4">+AR2+1</f>
        <v>2039</v>
      </c>
      <c r="AT2">
        <f t="shared" ref="AT2" si="5">+AS2+1</f>
        <v>2040</v>
      </c>
    </row>
    <row r="3" spans="2:142" s="5" customFormat="1" x14ac:dyDescent="0.2">
      <c r="B3" s="5" t="s">
        <v>7</v>
      </c>
      <c r="C3" s="5">
        <v>4364</v>
      </c>
      <c r="D3" s="5">
        <v>5024</v>
      </c>
      <c r="E3" s="5">
        <v>4520</v>
      </c>
      <c r="F3" s="5">
        <v>4523.6000000000004</v>
      </c>
      <c r="G3" s="5">
        <v>4717.6000000000004</v>
      </c>
      <c r="H3" s="5">
        <v>5220.7</v>
      </c>
      <c r="I3" s="5">
        <v>5125.8999999999996</v>
      </c>
      <c r="J3" s="5">
        <v>5030</v>
      </c>
      <c r="K3" s="5">
        <v>4904.7</v>
      </c>
      <c r="L3" s="5">
        <v>5139.3999999999996</v>
      </c>
      <c r="M3" s="5">
        <v>5099.2</v>
      </c>
      <c r="N3" s="5">
        <v>4713.8999999999996</v>
      </c>
      <c r="O3" s="5">
        <v>4848.1000000000004</v>
      </c>
      <c r="P3" s="5">
        <v>5240.1000000000004</v>
      </c>
      <c r="Q3" s="5">
        <f>+P3*0.94</f>
        <v>4925.6940000000004</v>
      </c>
      <c r="R3" s="5">
        <f>+Q3*1.01</f>
        <v>4974.9509400000006</v>
      </c>
      <c r="T3" s="5">
        <v>17909.599999999999</v>
      </c>
      <c r="U3" s="5">
        <v>17630.3</v>
      </c>
      <c r="V3" s="5">
        <v>16563.099999999999</v>
      </c>
      <c r="W3" s="5">
        <v>15619.8</v>
      </c>
      <c r="X3" s="5">
        <v>15740.4</v>
      </c>
      <c r="Y3" s="5">
        <v>16865.2</v>
      </c>
      <c r="Z3" s="5">
        <v>17626.599999999999</v>
      </c>
      <c r="AA3" s="5">
        <v>18127</v>
      </c>
      <c r="AB3" s="5">
        <f>+SUM(C3:F3)</f>
        <v>18431.599999999999</v>
      </c>
      <c r="AC3" s="5">
        <f>+SUM(G3:J3)</f>
        <v>20094.199999999997</v>
      </c>
      <c r="AD3" s="5">
        <f>+SUM(K3:N3)</f>
        <v>19857.199999999997</v>
      </c>
      <c r="AE3" s="5">
        <f>+SUM(O3:R3)</f>
        <v>19988.844940000003</v>
      </c>
      <c r="AF3" s="5">
        <f>+AE3*1.01</f>
        <v>20188.733389400004</v>
      </c>
      <c r="AG3" s="5">
        <f t="shared" ref="AG3:AO3" si="6">+AF3*1.01</f>
        <v>20390.620723294003</v>
      </c>
      <c r="AH3" s="5">
        <f t="shared" si="6"/>
        <v>20594.526930526943</v>
      </c>
      <c r="AI3" s="5">
        <f t="shared" si="6"/>
        <v>20800.472199832213</v>
      </c>
      <c r="AJ3" s="5">
        <f t="shared" si="6"/>
        <v>21008.476921830534</v>
      </c>
      <c r="AK3" s="5">
        <f t="shared" si="6"/>
        <v>21218.561691048839</v>
      </c>
      <c r="AL3" s="5">
        <f t="shared" si="6"/>
        <v>21430.747307959329</v>
      </c>
      <c r="AM3" s="5">
        <f t="shared" si="6"/>
        <v>21645.054781038922</v>
      </c>
      <c r="AN3" s="5">
        <f t="shared" si="6"/>
        <v>21861.505328849311</v>
      </c>
      <c r="AO3" s="5">
        <f t="shared" si="6"/>
        <v>22080.120382137804</v>
      </c>
      <c r="AP3" s="5">
        <f t="shared" ref="AP3" si="7">+AO3*1.01</f>
        <v>22300.921585959182</v>
      </c>
      <c r="AQ3" s="5">
        <f t="shared" ref="AQ3" si="8">+AP3*1.01</f>
        <v>22523.930801818773</v>
      </c>
      <c r="AR3" s="5">
        <f t="shared" ref="AR3" si="9">+AQ3*1.01</f>
        <v>22749.170109836959</v>
      </c>
      <c r="AS3" s="5">
        <f t="shared" ref="AS3" si="10">+AR3*1.01</f>
        <v>22976.661810935329</v>
      </c>
      <c r="AT3" s="5">
        <f t="shared" ref="AT3" si="11">+AS3*1.01</f>
        <v>23206.428429044681</v>
      </c>
    </row>
    <row r="4" spans="2:142" s="1" customFormat="1" x14ac:dyDescent="0.2">
      <c r="B4" s="1" t="s">
        <v>9</v>
      </c>
      <c r="C4" s="1">
        <v>2773.6</v>
      </c>
      <c r="D4" s="1">
        <v>3392.8</v>
      </c>
      <c r="E4" s="1">
        <v>2966.1</v>
      </c>
      <c r="F4" s="1">
        <v>2940.7</v>
      </c>
      <c r="G4" s="1">
        <v>3269.9</v>
      </c>
      <c r="H4" s="1">
        <v>3515.6</v>
      </c>
      <c r="I4" s="1">
        <v>3461.1</v>
      </c>
      <c r="J4" s="1">
        <v>3301.8</v>
      </c>
      <c r="K4" s="1">
        <v>3134.2</v>
      </c>
      <c r="L4" s="1">
        <v>3373.5</v>
      </c>
      <c r="M4" s="1">
        <v>3391.8</v>
      </c>
      <c r="N4" s="1">
        <v>3025.6</v>
      </c>
      <c r="O4" s="1">
        <v>3159.3</v>
      </c>
      <c r="P4" s="1">
        <v>3309</v>
      </c>
      <c r="Q4" s="1">
        <f>+Q3-Q5</f>
        <v>3103.1872200000003</v>
      </c>
      <c r="R4" s="1">
        <f>+R3-R5</f>
        <v>3134.2190922000004</v>
      </c>
      <c r="T4" s="1">
        <v>11539.8</v>
      </c>
      <c r="U4" s="1">
        <v>11681.1</v>
      </c>
      <c r="V4" s="1">
        <v>10733.6</v>
      </c>
      <c r="W4" s="1">
        <v>10056</v>
      </c>
      <c r="X4" s="1">
        <v>10312.9</v>
      </c>
      <c r="Y4" s="1">
        <v>11108.4</v>
      </c>
      <c r="Z4" s="1">
        <v>11496.7</v>
      </c>
      <c r="AA4" s="1">
        <v>11678.7</v>
      </c>
      <c r="AB4" s="1">
        <f>+SUM(C4:F4)</f>
        <v>12073.2</v>
      </c>
      <c r="AC4" s="1">
        <f>+SUM(G4:J4)</f>
        <v>13548.400000000001</v>
      </c>
      <c r="AD4" s="1">
        <f>+SUM(K4:N4)</f>
        <v>12925.1</v>
      </c>
      <c r="AE4" s="1">
        <f>+SUM(O4:R4)</f>
        <v>12705.706312200002</v>
      </c>
      <c r="AF4" s="1">
        <f>+AF3-AF5</f>
        <v>13122.676703110003</v>
      </c>
      <c r="AG4" s="1">
        <f t="shared" ref="AG4:AO4" si="12">+AG3-AG5</f>
        <v>13253.903470141104</v>
      </c>
      <c r="AH4" s="1">
        <f t="shared" si="12"/>
        <v>13386.442504842515</v>
      </c>
      <c r="AI4" s="1">
        <f t="shared" si="12"/>
        <v>13520.30692989094</v>
      </c>
      <c r="AJ4" s="1">
        <f t="shared" si="12"/>
        <v>13655.509999189848</v>
      </c>
      <c r="AK4" s="1">
        <f t="shared" si="12"/>
        <v>13792.065099181746</v>
      </c>
      <c r="AL4" s="1">
        <f t="shared" si="12"/>
        <v>13929.985750173564</v>
      </c>
      <c r="AM4" s="1">
        <f t="shared" si="12"/>
        <v>14069.2856076753</v>
      </c>
      <c r="AN4" s="1">
        <f t="shared" si="12"/>
        <v>14209.978463752053</v>
      </c>
      <c r="AO4" s="1">
        <f t="shared" si="12"/>
        <v>14352.078248389573</v>
      </c>
      <c r="AP4" s="1">
        <f t="shared" ref="AP4:AT4" si="13">+AP3-AP5</f>
        <v>14495.599030873469</v>
      </c>
      <c r="AQ4" s="1">
        <f t="shared" si="13"/>
        <v>14640.555021182203</v>
      </c>
      <c r="AR4" s="1">
        <f t="shared" si="13"/>
        <v>14786.960571394025</v>
      </c>
      <c r="AS4" s="1">
        <f t="shared" si="13"/>
        <v>14934.830177107964</v>
      </c>
      <c r="AT4" s="1">
        <f t="shared" si="13"/>
        <v>15084.178478879043</v>
      </c>
    </row>
    <row r="5" spans="2:142" s="1" customFormat="1" x14ac:dyDescent="0.2">
      <c r="B5" s="1" t="s">
        <v>10</v>
      </c>
      <c r="C5" s="1">
        <f t="shared" ref="C5:P5" si="14">+C3-C4</f>
        <v>1590.4</v>
      </c>
      <c r="D5" s="1">
        <f t="shared" si="14"/>
        <v>1631.1999999999998</v>
      </c>
      <c r="E5" s="1">
        <f t="shared" si="14"/>
        <v>1553.9</v>
      </c>
      <c r="F5" s="1">
        <f t="shared" si="14"/>
        <v>1582.9000000000005</v>
      </c>
      <c r="G5" s="1">
        <f t="shared" si="14"/>
        <v>1447.7000000000003</v>
      </c>
      <c r="H5" s="1">
        <f t="shared" si="14"/>
        <v>1705.1</v>
      </c>
      <c r="I5" s="1">
        <f t="shared" si="14"/>
        <v>1664.7999999999997</v>
      </c>
      <c r="J5" s="1">
        <f t="shared" si="14"/>
        <v>1728.1999999999998</v>
      </c>
      <c r="K5" s="1">
        <f t="shared" si="14"/>
        <v>1770.5</v>
      </c>
      <c r="L5" s="1">
        <f t="shared" si="14"/>
        <v>1765.8999999999996</v>
      </c>
      <c r="M5" s="1">
        <f t="shared" si="14"/>
        <v>1707.3999999999996</v>
      </c>
      <c r="N5" s="1">
        <f t="shared" si="14"/>
        <v>1688.2999999999997</v>
      </c>
      <c r="O5" s="1">
        <f t="shared" si="14"/>
        <v>1688.8000000000002</v>
      </c>
      <c r="P5" s="1">
        <f t="shared" si="14"/>
        <v>1931.1000000000004</v>
      </c>
      <c r="Q5" s="1">
        <f>+Q3*0.37</f>
        <v>1822.5067800000002</v>
      </c>
      <c r="R5" s="1">
        <f>+R3*0.37</f>
        <v>1840.7318478000002</v>
      </c>
      <c r="T5" s="1">
        <f t="shared" ref="T5:AE5" si="15">+T3-T4</f>
        <v>6369.7999999999993</v>
      </c>
      <c r="U5" s="1">
        <f t="shared" si="15"/>
        <v>5949.1999999999989</v>
      </c>
      <c r="V5" s="1">
        <f t="shared" si="15"/>
        <v>5829.4999999999982</v>
      </c>
      <c r="W5" s="1">
        <f t="shared" si="15"/>
        <v>5563.7999999999993</v>
      </c>
      <c r="X5" s="1">
        <f t="shared" si="15"/>
        <v>5427.5</v>
      </c>
      <c r="Y5" s="1">
        <f t="shared" si="15"/>
        <v>5756.8000000000011</v>
      </c>
      <c r="Z5" s="1">
        <f t="shared" si="15"/>
        <v>6129.8999999999978</v>
      </c>
      <c r="AA5" s="1">
        <f t="shared" si="15"/>
        <v>6448.2999999999993</v>
      </c>
      <c r="AB5" s="1">
        <f t="shared" si="15"/>
        <v>6358.3999999999978</v>
      </c>
      <c r="AC5" s="1">
        <f t="shared" si="15"/>
        <v>6545.7999999999956</v>
      </c>
      <c r="AD5" s="1">
        <f t="shared" si="15"/>
        <v>6932.0999999999967</v>
      </c>
      <c r="AE5" s="1">
        <f t="shared" si="15"/>
        <v>7283.1386278000009</v>
      </c>
      <c r="AF5" s="1">
        <f>+AF3*0.35</f>
        <v>7066.0566862900014</v>
      </c>
      <c r="AG5" s="1">
        <f t="shared" ref="AG5:AO5" si="16">+AG3*0.35</f>
        <v>7136.7172531529004</v>
      </c>
      <c r="AH5" s="1">
        <f t="shared" si="16"/>
        <v>7208.0844256844293</v>
      </c>
      <c r="AI5" s="1">
        <f t="shared" si="16"/>
        <v>7280.1652699412743</v>
      </c>
      <c r="AJ5" s="1">
        <f t="shared" si="16"/>
        <v>7352.9669226406859</v>
      </c>
      <c r="AK5" s="1">
        <f t="shared" si="16"/>
        <v>7426.4965918670932</v>
      </c>
      <c r="AL5" s="1">
        <f t="shared" si="16"/>
        <v>7500.761557785765</v>
      </c>
      <c r="AM5" s="1">
        <f t="shared" si="16"/>
        <v>7575.769173363622</v>
      </c>
      <c r="AN5" s="1">
        <f t="shared" si="16"/>
        <v>7651.5268650972585</v>
      </c>
      <c r="AO5" s="1">
        <f t="shared" si="16"/>
        <v>7728.0421337482312</v>
      </c>
      <c r="AP5" s="1">
        <f t="shared" ref="AP5:AT5" si="17">+AP3*0.35</f>
        <v>7805.3225550857132</v>
      </c>
      <c r="AQ5" s="1">
        <f t="shared" si="17"/>
        <v>7883.3757806365702</v>
      </c>
      <c r="AR5" s="1">
        <f t="shared" si="17"/>
        <v>7962.2095384429349</v>
      </c>
      <c r="AS5" s="1">
        <f t="shared" si="17"/>
        <v>8041.8316338273644</v>
      </c>
      <c r="AT5" s="1">
        <f t="shared" si="17"/>
        <v>8122.2499501656375</v>
      </c>
    </row>
    <row r="6" spans="2:142" s="1" customFormat="1" x14ac:dyDescent="0.2">
      <c r="B6" s="1" t="s">
        <v>8</v>
      </c>
      <c r="C6" s="1">
        <v>736.2</v>
      </c>
      <c r="D6" s="1">
        <v>828.8</v>
      </c>
      <c r="E6" s="1">
        <v>716.3</v>
      </c>
      <c r="F6" s="1">
        <v>823</v>
      </c>
      <c r="G6" s="1">
        <v>791.4</v>
      </c>
      <c r="H6" s="1">
        <v>894.2</v>
      </c>
      <c r="I6" s="1">
        <v>946.9</v>
      </c>
      <c r="J6" s="1">
        <v>867.9</v>
      </c>
      <c r="K6" s="1">
        <v>839.3</v>
      </c>
      <c r="L6" s="1">
        <v>830.5</v>
      </c>
      <c r="M6" s="1">
        <v>790.9</v>
      </c>
      <c r="N6" s="1">
        <v>798.3</v>
      </c>
      <c r="O6" s="1">
        <v>855.1</v>
      </c>
      <c r="P6" s="1">
        <v>852</v>
      </c>
      <c r="T6" s="1">
        <v>3474.3</v>
      </c>
      <c r="U6" s="1">
        <v>3328</v>
      </c>
      <c r="V6" s="1">
        <v>3118.9</v>
      </c>
      <c r="W6" s="1">
        <v>2801.3</v>
      </c>
      <c r="X6" s="1">
        <v>2752.6</v>
      </c>
      <c r="Y6" s="1">
        <v>2935.8</v>
      </c>
      <c r="Z6" s="1">
        <v>3151.6</v>
      </c>
      <c r="AA6" s="1">
        <v>3079.6</v>
      </c>
      <c r="AB6" s="1">
        <f>+SUM(C6:F6)</f>
        <v>3104.3</v>
      </c>
      <c r="AC6" s="1">
        <f>+SUM(G6:J6)</f>
        <v>3500.4</v>
      </c>
      <c r="AD6" s="1">
        <f>+SUM(K6:N6)</f>
        <v>3259</v>
      </c>
      <c r="AE6" s="1">
        <f>+AE3*0.16</f>
        <v>3198.2151904000007</v>
      </c>
      <c r="AF6" s="1">
        <f t="shared" ref="AF6:AO6" si="18">+AF3*0.16</f>
        <v>3230.1973423040008</v>
      </c>
      <c r="AG6" s="1">
        <f t="shared" si="18"/>
        <v>3262.4993157270405</v>
      </c>
      <c r="AH6" s="1">
        <f t="shared" si="18"/>
        <v>3295.1243088843112</v>
      </c>
      <c r="AI6" s="1">
        <f t="shared" si="18"/>
        <v>3328.0755519731542</v>
      </c>
      <c r="AJ6" s="1">
        <f t="shared" si="18"/>
        <v>3361.3563074928857</v>
      </c>
      <c r="AK6" s="1">
        <f t="shared" si="18"/>
        <v>3394.9698705678143</v>
      </c>
      <c r="AL6" s="1">
        <f t="shared" si="18"/>
        <v>3428.9195692734929</v>
      </c>
      <c r="AM6" s="1">
        <f t="shared" si="18"/>
        <v>3463.2087649662276</v>
      </c>
      <c r="AN6" s="1">
        <f t="shared" si="18"/>
        <v>3497.8408526158896</v>
      </c>
      <c r="AO6" s="1">
        <f t="shared" si="18"/>
        <v>3532.8192611420486</v>
      </c>
      <c r="AP6" s="1">
        <f t="shared" ref="AP6:AT6" si="19">+AP3*0.16</f>
        <v>3568.1474537534691</v>
      </c>
      <c r="AQ6" s="1">
        <f t="shared" si="19"/>
        <v>3603.8289282910036</v>
      </c>
      <c r="AR6" s="1">
        <f t="shared" si="19"/>
        <v>3639.8672175739134</v>
      </c>
      <c r="AS6" s="1">
        <f t="shared" si="19"/>
        <v>3676.2658897496526</v>
      </c>
      <c r="AT6" s="1">
        <f t="shared" si="19"/>
        <v>3713.0285486471489</v>
      </c>
    </row>
    <row r="7" spans="2:142" s="1" customFormat="1" x14ac:dyDescent="0.2">
      <c r="B7" s="1" t="s">
        <v>11</v>
      </c>
      <c r="C7" s="1">
        <f t="shared" ref="C7:P7" si="20">+C5-C6</f>
        <v>854.2</v>
      </c>
      <c r="D7" s="1">
        <f t="shared" si="20"/>
        <v>802.39999999999986</v>
      </c>
      <c r="E7" s="1">
        <f t="shared" si="20"/>
        <v>837.60000000000014</v>
      </c>
      <c r="F7" s="1">
        <f t="shared" si="20"/>
        <v>759.90000000000055</v>
      </c>
      <c r="G7" s="1">
        <f t="shared" si="20"/>
        <v>656.3000000000003</v>
      </c>
      <c r="H7" s="1">
        <f t="shared" si="20"/>
        <v>810.89999999999986</v>
      </c>
      <c r="I7" s="1">
        <f t="shared" si="20"/>
        <v>717.89999999999975</v>
      </c>
      <c r="J7" s="1">
        <f t="shared" si="20"/>
        <v>860.29999999999984</v>
      </c>
      <c r="K7" s="1">
        <f t="shared" si="20"/>
        <v>931.2</v>
      </c>
      <c r="L7" s="1">
        <f t="shared" si="20"/>
        <v>935.39999999999964</v>
      </c>
      <c r="M7" s="1">
        <f t="shared" si="20"/>
        <v>916.49999999999966</v>
      </c>
      <c r="N7" s="1">
        <f t="shared" si="20"/>
        <v>889.99999999999977</v>
      </c>
      <c r="O7" s="1">
        <f t="shared" si="20"/>
        <v>833.70000000000016</v>
      </c>
      <c r="P7" s="1">
        <f t="shared" si="20"/>
        <v>1079.1000000000004</v>
      </c>
      <c r="T7" s="1">
        <f t="shared" ref="T7:AE7" si="21">+T5-T6</f>
        <v>2895.4999999999991</v>
      </c>
      <c r="U7" s="1">
        <f t="shared" si="21"/>
        <v>2621.1999999999989</v>
      </c>
      <c r="V7" s="1">
        <f t="shared" si="21"/>
        <v>2710.5999999999981</v>
      </c>
      <c r="W7" s="1">
        <f t="shared" si="21"/>
        <v>2762.4999999999991</v>
      </c>
      <c r="X7" s="1">
        <f t="shared" si="21"/>
        <v>2674.9</v>
      </c>
      <c r="Y7" s="1">
        <f t="shared" si="21"/>
        <v>2821.0000000000009</v>
      </c>
      <c r="Z7" s="1">
        <f t="shared" si="21"/>
        <v>2978.2999999999979</v>
      </c>
      <c r="AA7" s="1">
        <f t="shared" si="21"/>
        <v>3368.6999999999994</v>
      </c>
      <c r="AB7" s="1">
        <f t="shared" si="21"/>
        <v>3254.0999999999976</v>
      </c>
      <c r="AC7" s="1">
        <f t="shared" si="21"/>
        <v>3045.3999999999955</v>
      </c>
      <c r="AD7" s="1">
        <f t="shared" si="21"/>
        <v>3673.0999999999967</v>
      </c>
      <c r="AE7" s="1">
        <f t="shared" si="21"/>
        <v>4084.9234374000002</v>
      </c>
      <c r="AF7" s="1">
        <f t="shared" ref="AF7:AO7" si="22">+AF5-AF6</f>
        <v>3835.8593439860006</v>
      </c>
      <c r="AG7" s="1">
        <f t="shared" si="22"/>
        <v>3874.2179374258599</v>
      </c>
      <c r="AH7" s="1">
        <f t="shared" si="22"/>
        <v>3912.9601168001182</v>
      </c>
      <c r="AI7" s="1">
        <f t="shared" si="22"/>
        <v>3952.0897179681201</v>
      </c>
      <c r="AJ7" s="1">
        <f t="shared" si="22"/>
        <v>3991.6106151478002</v>
      </c>
      <c r="AK7" s="1">
        <f t="shared" si="22"/>
        <v>4031.526721299279</v>
      </c>
      <c r="AL7" s="1">
        <f t="shared" si="22"/>
        <v>4071.8419885122721</v>
      </c>
      <c r="AM7" s="1">
        <f t="shared" si="22"/>
        <v>4112.560408397394</v>
      </c>
      <c r="AN7" s="1">
        <f t="shared" si="22"/>
        <v>4153.6860124813684</v>
      </c>
      <c r="AO7" s="1">
        <f t="shared" si="22"/>
        <v>4195.2228726061821</v>
      </c>
      <c r="AP7" s="1">
        <f t="shared" ref="AP7:AT7" si="23">+AP5-AP6</f>
        <v>4237.1751013322446</v>
      </c>
      <c r="AQ7" s="1">
        <f t="shared" si="23"/>
        <v>4279.5468523455665</v>
      </c>
      <c r="AR7" s="1">
        <f t="shared" si="23"/>
        <v>4322.3423208690219</v>
      </c>
      <c r="AS7" s="1">
        <f t="shared" si="23"/>
        <v>4365.5657440777122</v>
      </c>
      <c r="AT7" s="1">
        <f t="shared" si="23"/>
        <v>4409.2214015184891</v>
      </c>
    </row>
    <row r="8" spans="2:142" s="1" customFormat="1" x14ac:dyDescent="0.2">
      <c r="B8" s="1" t="s">
        <v>12</v>
      </c>
      <c r="C8" s="1">
        <v>111.1</v>
      </c>
      <c r="D8" s="1">
        <v>-92.7</v>
      </c>
      <c r="E8" s="1">
        <v>-106</v>
      </c>
      <c r="F8" s="1">
        <v>-102.6</v>
      </c>
      <c r="G8" s="1">
        <v>-87.7</v>
      </c>
      <c r="H8" s="1">
        <v>-91.5</v>
      </c>
      <c r="I8" s="1">
        <v>-98.3</v>
      </c>
      <c r="J8" s="1">
        <v>-104.6</v>
      </c>
      <c r="K8" s="1">
        <v>-117</v>
      </c>
      <c r="L8" s="1">
        <v>-117.8</v>
      </c>
      <c r="M8" s="1">
        <v>-121.7</v>
      </c>
      <c r="N8" s="1">
        <v>-122.7</v>
      </c>
      <c r="O8" s="1">
        <v>-123.6</v>
      </c>
      <c r="P8" s="1">
        <v>-124.6</v>
      </c>
      <c r="T8" s="1">
        <v>-302.39999999999998</v>
      </c>
      <c r="U8" s="1">
        <v>-315.39999999999998</v>
      </c>
      <c r="V8" s="1">
        <v>-303.8</v>
      </c>
      <c r="W8" s="1">
        <v>-295.10000000000002</v>
      </c>
      <c r="X8" s="1">
        <v>-373.7</v>
      </c>
      <c r="Y8" s="1">
        <v>-521.79999999999995</v>
      </c>
      <c r="Z8" s="1">
        <v>-466.5</v>
      </c>
      <c r="AA8" s="1">
        <v>-420.3</v>
      </c>
      <c r="AB8" s="1">
        <f>+SUM(C8:F8)</f>
        <v>-190.2</v>
      </c>
      <c r="AC8" s="1">
        <f>+SUM(G8:J8)</f>
        <v>-382.1</v>
      </c>
      <c r="AD8" s="1">
        <f>+SUM(K8:N8)</f>
        <v>-479.2</v>
      </c>
      <c r="AE8" s="1">
        <f>+AD28*0.04</f>
        <v>-489.15199999999999</v>
      </c>
      <c r="AF8" s="1">
        <f t="shared" ref="AF8:AO8" si="24">+AE28*0.04</f>
        <v>-374.08731400319999</v>
      </c>
      <c r="AG8" s="1">
        <f t="shared" si="24"/>
        <v>-263.31060904375039</v>
      </c>
      <c r="AH8" s="1">
        <f t="shared" si="24"/>
        <v>-147.76157453552287</v>
      </c>
      <c r="AI8" s="1">
        <f t="shared" si="24"/>
        <v>-27.27522118305582</v>
      </c>
      <c r="AJ8" s="1">
        <f t="shared" si="24"/>
        <v>98.31884271406625</v>
      </c>
      <c r="AK8" s="1">
        <f t="shared" si="24"/>
        <v>229.19658536564594</v>
      </c>
      <c r="AL8" s="1">
        <f t="shared" si="24"/>
        <v>365.53973117892355</v>
      </c>
      <c r="AM8" s="1">
        <f t="shared" si="24"/>
        <v>507.53594620904181</v>
      </c>
      <c r="AN8" s="1">
        <f t="shared" si="24"/>
        <v>655.37902955644779</v>
      </c>
      <c r="AO8" s="1">
        <f t="shared" si="24"/>
        <v>809.26911090165788</v>
      </c>
      <c r="AP8" s="1">
        <f t="shared" ref="AP8" si="25">+AO28*0.04</f>
        <v>969.41285437390877</v>
      </c>
      <c r="AQ8" s="1">
        <f>+AP28*0.04</f>
        <v>1136.0236689565058</v>
      </c>
      <c r="AR8" s="1">
        <f t="shared" ref="AR8:AT8" si="26">+AQ28*0.04</f>
        <v>1309.3219256381719</v>
      </c>
      <c r="AS8" s="1">
        <f t="shared" si="26"/>
        <v>1489.5351815264021</v>
      </c>
      <c r="AT8" s="1">
        <f t="shared" si="26"/>
        <v>1676.8984111457337</v>
      </c>
    </row>
    <row r="9" spans="2:142" s="1" customFormat="1" x14ac:dyDescent="0.2">
      <c r="B9" s="1" t="s">
        <v>13</v>
      </c>
      <c r="C9" s="1">
        <f t="shared" ref="C9:P9" si="27">+C7+C8</f>
        <v>965.30000000000007</v>
      </c>
      <c r="D9" s="1">
        <f t="shared" si="27"/>
        <v>709.69999999999982</v>
      </c>
      <c r="E9" s="1">
        <f t="shared" si="27"/>
        <v>731.60000000000014</v>
      </c>
      <c r="F9" s="1">
        <f t="shared" si="27"/>
        <v>657.30000000000052</v>
      </c>
      <c r="G9" s="1">
        <f t="shared" si="27"/>
        <v>568.60000000000025</v>
      </c>
      <c r="H9" s="1">
        <f t="shared" si="27"/>
        <v>719.39999999999986</v>
      </c>
      <c r="I9" s="1">
        <f t="shared" si="27"/>
        <v>619.5999999999998</v>
      </c>
      <c r="J9" s="1">
        <f t="shared" si="27"/>
        <v>755.69999999999982</v>
      </c>
      <c r="K9" s="1">
        <f t="shared" si="27"/>
        <v>814.2</v>
      </c>
      <c r="L9" s="1">
        <f t="shared" si="27"/>
        <v>817.59999999999968</v>
      </c>
      <c r="M9" s="1">
        <f t="shared" si="27"/>
        <v>794.79999999999961</v>
      </c>
      <c r="N9" s="1">
        <f t="shared" si="27"/>
        <v>767.29999999999973</v>
      </c>
      <c r="O9" s="1">
        <f t="shared" si="27"/>
        <v>710.10000000000014</v>
      </c>
      <c r="P9" s="1">
        <f t="shared" si="27"/>
        <v>954.50000000000034</v>
      </c>
      <c r="T9" s="1">
        <f t="shared" ref="T9:AE9" si="28">+T7+T8</f>
        <v>2593.099999999999</v>
      </c>
      <c r="U9" s="1">
        <f t="shared" si="28"/>
        <v>2305.7999999999988</v>
      </c>
      <c r="V9" s="1">
        <f t="shared" si="28"/>
        <v>2406.7999999999979</v>
      </c>
      <c r="W9" s="1">
        <f t="shared" si="28"/>
        <v>2467.3999999999992</v>
      </c>
      <c r="X9" s="1">
        <f t="shared" si="28"/>
        <v>2301.2000000000003</v>
      </c>
      <c r="Y9" s="1">
        <f t="shared" si="28"/>
        <v>2299.2000000000007</v>
      </c>
      <c r="Z9" s="1">
        <f t="shared" si="28"/>
        <v>2511.7999999999979</v>
      </c>
      <c r="AA9" s="1">
        <f t="shared" si="28"/>
        <v>2948.3999999999992</v>
      </c>
      <c r="AB9" s="1">
        <f t="shared" si="28"/>
        <v>3063.8999999999978</v>
      </c>
      <c r="AC9" s="1">
        <f t="shared" si="28"/>
        <v>2663.2999999999956</v>
      </c>
      <c r="AD9" s="1">
        <f t="shared" si="28"/>
        <v>3193.8999999999969</v>
      </c>
      <c r="AE9" s="1">
        <f t="shared" si="28"/>
        <v>3595.7714374000002</v>
      </c>
      <c r="AF9" s="1">
        <f t="shared" ref="AF9:AO9" si="29">+AF7+AF8</f>
        <v>3461.7720299828006</v>
      </c>
      <c r="AG9" s="1">
        <f t="shared" si="29"/>
        <v>3610.9073283821094</v>
      </c>
      <c r="AH9" s="1">
        <f t="shared" si="29"/>
        <v>3765.1985422645953</v>
      </c>
      <c r="AI9" s="1">
        <f t="shared" si="29"/>
        <v>3924.8144967850644</v>
      </c>
      <c r="AJ9" s="1">
        <f t="shared" si="29"/>
        <v>4089.9294578618665</v>
      </c>
      <c r="AK9" s="1">
        <f t="shared" si="29"/>
        <v>4260.7233066649251</v>
      </c>
      <c r="AL9" s="1">
        <f t="shared" si="29"/>
        <v>4437.3817196911959</v>
      </c>
      <c r="AM9" s="1">
        <f t="shared" si="29"/>
        <v>4620.0963546064359</v>
      </c>
      <c r="AN9" s="1">
        <f t="shared" si="29"/>
        <v>4809.0650420378161</v>
      </c>
      <c r="AO9" s="1">
        <f t="shared" si="29"/>
        <v>5004.4919835078399</v>
      </c>
      <c r="AP9" s="1">
        <f t="shared" ref="AP9:AT9" si="30">+AP7+AP8</f>
        <v>5206.5879557061535</v>
      </c>
      <c r="AQ9" s="1">
        <f t="shared" si="30"/>
        <v>5415.5705213020719</v>
      </c>
      <c r="AR9" s="1">
        <f t="shared" si="30"/>
        <v>5631.6642465071936</v>
      </c>
      <c r="AS9" s="1">
        <f t="shared" si="30"/>
        <v>5855.1009256041143</v>
      </c>
      <c r="AT9" s="1">
        <f t="shared" si="30"/>
        <v>6086.119812664223</v>
      </c>
    </row>
    <row r="10" spans="2:142" s="1" customFormat="1" x14ac:dyDescent="0.2">
      <c r="B10" s="1" t="s">
        <v>14</v>
      </c>
      <c r="C10" s="1">
        <v>170.8</v>
      </c>
      <c r="D10" s="1">
        <v>159.69999999999999</v>
      </c>
      <c r="E10" s="1">
        <v>162</v>
      </c>
      <c r="F10" s="1">
        <v>106.9</v>
      </c>
      <c r="G10" s="1">
        <v>216.1</v>
      </c>
      <c r="H10" s="1">
        <v>147.1</v>
      </c>
      <c r="I10" s="1">
        <v>108.3</v>
      </c>
      <c r="J10" s="1">
        <v>140.69999999999999</v>
      </c>
      <c r="K10" s="1">
        <v>173.2</v>
      </c>
      <c r="L10" s="1">
        <v>136</v>
      </c>
      <c r="M10" s="1">
        <v>149.30000000000001</v>
      </c>
      <c r="N10" s="1">
        <v>136</v>
      </c>
      <c r="O10" s="1">
        <v>157.4</v>
      </c>
      <c r="P10" s="1">
        <v>194.8</v>
      </c>
      <c r="T10" s="1">
        <v>883.3</v>
      </c>
      <c r="U10" s="1">
        <v>586.79999999999995</v>
      </c>
      <c r="V10" s="1">
        <v>755.2</v>
      </c>
      <c r="W10" s="1">
        <v>655.20000000000005</v>
      </c>
      <c r="X10" s="1">
        <v>57.3</v>
      </c>
      <c r="Y10" s="1">
        <v>367.8</v>
      </c>
      <c r="Z10" s="1">
        <v>480.5</v>
      </c>
      <c r="AA10" s="1">
        <v>629.1</v>
      </c>
      <c r="AB10" s="1">
        <f>+SUM(C10:F10)</f>
        <v>599.4</v>
      </c>
      <c r="AC10" s="1">
        <f>+SUM(G10:J10)</f>
        <v>612.20000000000005</v>
      </c>
      <c r="AD10" s="1">
        <f>+SUM(K10:N10)</f>
        <v>594.5</v>
      </c>
      <c r="AE10" s="1">
        <f>+AE9*0.2</f>
        <v>719.15428748000011</v>
      </c>
      <c r="AF10" s="1">
        <f t="shared" ref="AF10:AO10" si="31">+AF9*0.2</f>
        <v>692.35440599656022</v>
      </c>
      <c r="AG10" s="1">
        <f t="shared" si="31"/>
        <v>722.18146567642191</v>
      </c>
      <c r="AH10" s="1">
        <f t="shared" si="31"/>
        <v>753.03970845291906</v>
      </c>
      <c r="AI10" s="1">
        <f t="shared" si="31"/>
        <v>784.96289935701293</v>
      </c>
      <c r="AJ10" s="1">
        <f t="shared" si="31"/>
        <v>817.98589157237336</v>
      </c>
      <c r="AK10" s="1">
        <f t="shared" si="31"/>
        <v>852.14466133298504</v>
      </c>
      <c r="AL10" s="1">
        <f t="shared" si="31"/>
        <v>887.47634393823921</v>
      </c>
      <c r="AM10" s="1">
        <f t="shared" si="31"/>
        <v>924.01927092128722</v>
      </c>
      <c r="AN10" s="1">
        <f t="shared" si="31"/>
        <v>961.8130084075633</v>
      </c>
      <c r="AO10" s="1">
        <f t="shared" si="31"/>
        <v>1000.898396701568</v>
      </c>
      <c r="AP10" s="1">
        <f t="shared" ref="AP10:AT10" si="32">+AP9*0.2</f>
        <v>1041.3175911412307</v>
      </c>
      <c r="AQ10" s="1">
        <f>+AQ9*0.2</f>
        <v>1083.1141042604145</v>
      </c>
      <c r="AR10" s="1">
        <f>+AR9*0.2</f>
        <v>1126.3328493014387</v>
      </c>
      <c r="AS10" s="1">
        <f t="shared" si="32"/>
        <v>1171.0201851208228</v>
      </c>
      <c r="AT10" s="1">
        <f t="shared" si="32"/>
        <v>1217.2239625328446</v>
      </c>
    </row>
    <row r="11" spans="2:142" s="1" customFormat="1" x14ac:dyDescent="0.2">
      <c r="B11" s="1" t="s">
        <v>15</v>
      </c>
      <c r="C11" s="1">
        <f t="shared" ref="C11:P11" si="33">+C9-C10</f>
        <v>794.5</v>
      </c>
      <c r="D11" s="1">
        <f t="shared" si="33"/>
        <v>549.99999999999977</v>
      </c>
      <c r="E11" s="1">
        <f t="shared" si="33"/>
        <v>569.60000000000014</v>
      </c>
      <c r="F11" s="1">
        <f t="shared" si="33"/>
        <v>550.40000000000055</v>
      </c>
      <c r="G11" s="1">
        <f t="shared" si="33"/>
        <v>352.50000000000023</v>
      </c>
      <c r="H11" s="1">
        <f t="shared" si="33"/>
        <v>572.29999999999984</v>
      </c>
      <c r="I11" s="1">
        <f t="shared" si="33"/>
        <v>511.29999999999978</v>
      </c>
      <c r="J11" s="1">
        <f t="shared" si="33"/>
        <v>614.99999999999977</v>
      </c>
      <c r="K11" s="1">
        <f t="shared" si="33"/>
        <v>641</v>
      </c>
      <c r="L11" s="1">
        <f t="shared" si="33"/>
        <v>681.59999999999968</v>
      </c>
      <c r="M11" s="1">
        <f t="shared" si="33"/>
        <v>645.49999999999955</v>
      </c>
      <c r="N11" s="1">
        <f t="shared" si="33"/>
        <v>631.29999999999973</v>
      </c>
      <c r="O11" s="1">
        <f t="shared" si="33"/>
        <v>552.70000000000016</v>
      </c>
      <c r="P11" s="1">
        <f t="shared" si="33"/>
        <v>759.70000000000027</v>
      </c>
      <c r="T11" s="1">
        <f t="shared" ref="T11:AE11" si="34">+T9-T10</f>
        <v>1709.799999999999</v>
      </c>
      <c r="U11" s="1">
        <f t="shared" si="34"/>
        <v>1718.9999999999989</v>
      </c>
      <c r="V11" s="1">
        <f t="shared" si="34"/>
        <v>1651.5999999999979</v>
      </c>
      <c r="W11" s="1">
        <f t="shared" si="34"/>
        <v>1812.1999999999991</v>
      </c>
      <c r="X11" s="1">
        <f t="shared" si="34"/>
        <v>2243.9</v>
      </c>
      <c r="Y11" s="1">
        <f t="shared" si="34"/>
        <v>1931.4000000000008</v>
      </c>
      <c r="Z11" s="1">
        <f t="shared" si="34"/>
        <v>2031.2999999999979</v>
      </c>
      <c r="AA11" s="1">
        <f t="shared" si="34"/>
        <v>2319.2999999999993</v>
      </c>
      <c r="AB11" s="1">
        <f t="shared" si="34"/>
        <v>2464.4999999999977</v>
      </c>
      <c r="AC11" s="1">
        <f t="shared" si="34"/>
        <v>2051.0999999999958</v>
      </c>
      <c r="AD11" s="1">
        <f t="shared" si="34"/>
        <v>2599.3999999999969</v>
      </c>
      <c r="AE11" s="1">
        <f t="shared" si="34"/>
        <v>2876.61714992</v>
      </c>
      <c r="AF11" s="1">
        <f t="shared" ref="AF11:AO11" si="35">+AF9-AF10</f>
        <v>2769.4176239862404</v>
      </c>
      <c r="AG11" s="1">
        <f t="shared" si="35"/>
        <v>2888.7258627056876</v>
      </c>
      <c r="AH11" s="1">
        <f t="shared" si="35"/>
        <v>3012.1588338116762</v>
      </c>
      <c r="AI11" s="1">
        <f t="shared" si="35"/>
        <v>3139.8515974280517</v>
      </c>
      <c r="AJ11" s="1">
        <f t="shared" si="35"/>
        <v>3271.943566289493</v>
      </c>
      <c r="AK11" s="1">
        <f t="shared" si="35"/>
        <v>3408.5786453319402</v>
      </c>
      <c r="AL11" s="1">
        <f t="shared" si="35"/>
        <v>3549.9053757529568</v>
      </c>
      <c r="AM11" s="1">
        <f t="shared" si="35"/>
        <v>3696.0770836851489</v>
      </c>
      <c r="AN11" s="1">
        <f t="shared" si="35"/>
        <v>3847.2520336302528</v>
      </c>
      <c r="AO11" s="1">
        <f t="shared" si="35"/>
        <v>4003.593586806272</v>
      </c>
      <c r="AP11" s="1">
        <f t="shared" ref="AP11:AT11" si="36">+AP9-AP10</f>
        <v>4165.2703645649226</v>
      </c>
      <c r="AQ11" s="1">
        <f t="shared" si="36"/>
        <v>4332.4564170416579</v>
      </c>
      <c r="AR11" s="1">
        <f t="shared" si="36"/>
        <v>4505.3313972057549</v>
      </c>
      <c r="AS11" s="1">
        <f t="shared" si="36"/>
        <v>4684.0807404832913</v>
      </c>
      <c r="AT11" s="1">
        <f t="shared" si="36"/>
        <v>4868.8958501313782</v>
      </c>
      <c r="AU11" s="1">
        <f>+AT11*(1+$AW$21)</f>
        <v>4820.2068916300641</v>
      </c>
      <c r="AV11" s="1">
        <f t="shared" ref="AV11:DG11" si="37">+AU11*(1+$AW$21)</f>
        <v>4772.0048227137631</v>
      </c>
      <c r="AW11" s="1">
        <f t="shared" si="37"/>
        <v>4724.2847744866258</v>
      </c>
      <c r="AX11" s="1">
        <f t="shared" si="37"/>
        <v>4677.0419267417592</v>
      </c>
      <c r="AY11" s="1">
        <f t="shared" si="37"/>
        <v>4630.2715074743419</v>
      </c>
      <c r="AZ11" s="1">
        <f t="shared" si="37"/>
        <v>4583.968792399598</v>
      </c>
      <c r="BA11" s="1">
        <f t="shared" si="37"/>
        <v>4538.1291044756017</v>
      </c>
      <c r="BB11" s="1">
        <f t="shared" si="37"/>
        <v>4492.7478134308458</v>
      </c>
      <c r="BC11" s="1">
        <f t="shared" si="37"/>
        <v>4447.8203352965375</v>
      </c>
      <c r="BD11" s="1">
        <f t="shared" si="37"/>
        <v>4403.342131943572</v>
      </c>
      <c r="BE11" s="1">
        <f t="shared" si="37"/>
        <v>4359.3087106241364</v>
      </c>
      <c r="BF11" s="1">
        <f t="shared" si="37"/>
        <v>4315.7156235178954</v>
      </c>
      <c r="BG11" s="1">
        <f t="shared" si="37"/>
        <v>4272.5584672827163</v>
      </c>
      <c r="BH11" s="1">
        <f t="shared" si="37"/>
        <v>4229.8328826098887</v>
      </c>
      <c r="BI11" s="1">
        <f t="shared" si="37"/>
        <v>4187.5345537837893</v>
      </c>
      <c r="BJ11" s="1">
        <f t="shared" si="37"/>
        <v>4145.659208245951</v>
      </c>
      <c r="BK11" s="1">
        <f t="shared" si="37"/>
        <v>4104.2026161634913</v>
      </c>
      <c r="BL11" s="1">
        <f t="shared" si="37"/>
        <v>4063.1605900018562</v>
      </c>
      <c r="BM11" s="1">
        <f t="shared" si="37"/>
        <v>4022.5289841018375</v>
      </c>
      <c r="BN11" s="1">
        <f t="shared" si="37"/>
        <v>3982.3036942608192</v>
      </c>
      <c r="BO11" s="1">
        <f t="shared" si="37"/>
        <v>3942.4806573182109</v>
      </c>
      <c r="BP11" s="1">
        <f t="shared" si="37"/>
        <v>3903.0558507450287</v>
      </c>
      <c r="BQ11" s="1">
        <f t="shared" si="37"/>
        <v>3864.0252922375785</v>
      </c>
      <c r="BR11" s="1">
        <f t="shared" si="37"/>
        <v>3825.3850393152024</v>
      </c>
      <c r="BS11" s="1">
        <f t="shared" si="37"/>
        <v>3787.1311889220506</v>
      </c>
      <c r="BT11" s="1">
        <f t="shared" si="37"/>
        <v>3749.25987703283</v>
      </c>
      <c r="BU11" s="1">
        <f t="shared" si="37"/>
        <v>3711.7672782625018</v>
      </c>
      <c r="BV11" s="1">
        <f t="shared" si="37"/>
        <v>3674.6496054798768</v>
      </c>
      <c r="BW11" s="1">
        <f t="shared" si="37"/>
        <v>3637.9031094250781</v>
      </c>
      <c r="BX11" s="1">
        <f t="shared" si="37"/>
        <v>3601.5240783308273</v>
      </c>
      <c r="BY11" s="1">
        <f t="shared" si="37"/>
        <v>3565.5088375475189</v>
      </c>
      <c r="BZ11" s="1">
        <f t="shared" si="37"/>
        <v>3529.8537491720435</v>
      </c>
      <c r="CA11" s="1">
        <f t="shared" si="37"/>
        <v>3494.5552116803233</v>
      </c>
      <c r="CB11" s="1">
        <f t="shared" si="37"/>
        <v>3459.6096595635199</v>
      </c>
      <c r="CC11" s="1">
        <f t="shared" si="37"/>
        <v>3425.0135629678848</v>
      </c>
      <c r="CD11" s="1">
        <f t="shared" si="37"/>
        <v>3390.7634273382059</v>
      </c>
      <c r="CE11" s="1">
        <f t="shared" si="37"/>
        <v>3356.855793064824</v>
      </c>
      <c r="CF11" s="1">
        <f t="shared" si="37"/>
        <v>3323.2872351341757</v>
      </c>
      <c r="CG11" s="1">
        <f t="shared" si="37"/>
        <v>3290.0543627828338</v>
      </c>
      <c r="CH11" s="1">
        <f t="shared" si="37"/>
        <v>3257.1538191550053</v>
      </c>
      <c r="CI11" s="1">
        <f t="shared" si="37"/>
        <v>3224.5822809634551</v>
      </c>
      <c r="CJ11" s="1">
        <f t="shared" si="37"/>
        <v>3192.3364581538203</v>
      </c>
      <c r="CK11" s="1">
        <f t="shared" si="37"/>
        <v>3160.4130935722819</v>
      </c>
      <c r="CL11" s="1">
        <f t="shared" si="37"/>
        <v>3128.808962636559</v>
      </c>
      <c r="CM11" s="1">
        <f t="shared" si="37"/>
        <v>3097.5208730101936</v>
      </c>
      <c r="CN11" s="1">
        <f t="shared" si="37"/>
        <v>3066.5456642800914</v>
      </c>
      <c r="CO11" s="1">
        <f t="shared" si="37"/>
        <v>3035.8802076372904</v>
      </c>
      <c r="CP11" s="1">
        <f t="shared" si="37"/>
        <v>3005.5214055609176</v>
      </c>
      <c r="CQ11" s="1">
        <f t="shared" si="37"/>
        <v>2975.4661915053084</v>
      </c>
      <c r="CR11" s="1">
        <f t="shared" si="37"/>
        <v>2945.7115295902554</v>
      </c>
      <c r="CS11" s="1">
        <f t="shared" si="37"/>
        <v>2916.254414294353</v>
      </c>
      <c r="CT11" s="1">
        <f t="shared" si="37"/>
        <v>2887.0918701514092</v>
      </c>
      <c r="CU11" s="1">
        <f t="shared" si="37"/>
        <v>2858.220951449895</v>
      </c>
      <c r="CV11" s="1">
        <f t="shared" si="37"/>
        <v>2829.638741935396</v>
      </c>
      <c r="CW11" s="1">
        <f t="shared" si="37"/>
        <v>2801.3423545160422</v>
      </c>
      <c r="CX11" s="1">
        <f t="shared" si="37"/>
        <v>2773.3289309708816</v>
      </c>
      <c r="CY11" s="1">
        <f t="shared" si="37"/>
        <v>2745.595641661173</v>
      </c>
      <c r="CZ11" s="1">
        <f t="shared" si="37"/>
        <v>2718.1396852445614</v>
      </c>
      <c r="DA11" s="1">
        <f t="shared" si="37"/>
        <v>2690.9582883921157</v>
      </c>
      <c r="DB11" s="1">
        <f t="shared" si="37"/>
        <v>2664.0487055081944</v>
      </c>
      <c r="DC11" s="1">
        <f t="shared" si="37"/>
        <v>2637.4082184531126</v>
      </c>
      <c r="DD11" s="1">
        <f t="shared" si="37"/>
        <v>2611.0341362685813</v>
      </c>
      <c r="DE11" s="1">
        <f t="shared" si="37"/>
        <v>2584.9237949058956</v>
      </c>
      <c r="DF11" s="1">
        <f t="shared" si="37"/>
        <v>2559.0745569568367</v>
      </c>
      <c r="DG11" s="1">
        <f t="shared" si="37"/>
        <v>2533.4838113872684</v>
      </c>
      <c r="DH11" s="1">
        <f t="shared" ref="DH11:EL11" si="38">+DG11*(1+$AW$21)</f>
        <v>2508.1489732733958</v>
      </c>
      <c r="DI11" s="1">
        <f t="shared" si="38"/>
        <v>2483.0674835406617</v>
      </c>
      <c r="DJ11" s="1">
        <f t="shared" si="38"/>
        <v>2458.236808705255</v>
      </c>
      <c r="DK11" s="1">
        <f t="shared" si="38"/>
        <v>2433.6544406182024</v>
      </c>
      <c r="DL11" s="1">
        <f t="shared" si="38"/>
        <v>2409.3178962120205</v>
      </c>
      <c r="DM11" s="1">
        <f t="shared" si="38"/>
        <v>2385.2247172499001</v>
      </c>
      <c r="DN11" s="1">
        <f t="shared" si="38"/>
        <v>2361.372470077401</v>
      </c>
      <c r="DO11" s="1">
        <f t="shared" si="38"/>
        <v>2337.7587453766268</v>
      </c>
      <c r="DP11" s="1">
        <f t="shared" si="38"/>
        <v>2314.3811579228604</v>
      </c>
      <c r="DQ11" s="1">
        <f t="shared" si="38"/>
        <v>2291.237346343632</v>
      </c>
      <c r="DR11" s="1">
        <f t="shared" si="38"/>
        <v>2268.3249728801957</v>
      </c>
      <c r="DS11" s="1">
        <f t="shared" si="38"/>
        <v>2245.6417231513938</v>
      </c>
      <c r="DT11" s="1">
        <f t="shared" si="38"/>
        <v>2223.1853059198797</v>
      </c>
      <c r="DU11" s="1">
        <f t="shared" si="38"/>
        <v>2200.953452860681</v>
      </c>
      <c r="DV11" s="1">
        <f t="shared" si="38"/>
        <v>2178.9439183320742</v>
      </c>
      <c r="DW11" s="1">
        <f t="shared" si="38"/>
        <v>2157.1544791487536</v>
      </c>
      <c r="DX11" s="1">
        <f t="shared" si="38"/>
        <v>2135.5829343572659</v>
      </c>
      <c r="DY11" s="1">
        <f t="shared" si="38"/>
        <v>2114.2271050136933</v>
      </c>
      <c r="DZ11" s="1">
        <f t="shared" si="38"/>
        <v>2093.0848339635563</v>
      </c>
      <c r="EA11" s="1">
        <f t="shared" si="38"/>
        <v>2072.1539856239206</v>
      </c>
      <c r="EB11" s="1">
        <f t="shared" si="38"/>
        <v>2051.4324457676812</v>
      </c>
      <c r="EC11" s="1">
        <f t="shared" si="38"/>
        <v>2030.9181213100044</v>
      </c>
      <c r="ED11" s="1">
        <f t="shared" si="38"/>
        <v>2010.6089400969042</v>
      </c>
      <c r="EE11" s="1">
        <f t="shared" si="38"/>
        <v>1990.5028506959352</v>
      </c>
      <c r="EF11" s="1">
        <f t="shared" si="38"/>
        <v>1970.5978221889759</v>
      </c>
      <c r="EG11" s="1">
        <f t="shared" si="38"/>
        <v>1950.8918439670861</v>
      </c>
      <c r="EH11" s="1">
        <f t="shared" si="38"/>
        <v>1931.3829255274152</v>
      </c>
      <c r="EI11" s="1">
        <f t="shared" si="38"/>
        <v>1912.069096272141</v>
      </c>
      <c r="EJ11" s="1">
        <f t="shared" si="38"/>
        <v>1892.9484053094195</v>
      </c>
      <c r="EK11" s="1">
        <f t="shared" si="38"/>
        <v>1874.0189212563253</v>
      </c>
      <c r="EL11" s="1">
        <f t="shared" si="38"/>
        <v>1855.2787320437619</v>
      </c>
    </row>
    <row r="12" spans="2:142" s="2" customFormat="1" x14ac:dyDescent="0.2">
      <c r="B12" s="2" t="s">
        <v>16</v>
      </c>
      <c r="C12" s="2">
        <f t="shared" ref="C12:P12" si="39">+C11/C13</f>
        <v>1.2996891869785703</v>
      </c>
      <c r="D12" s="2">
        <f t="shared" si="39"/>
        <v>0.91180371352785106</v>
      </c>
      <c r="E12" s="2">
        <f t="shared" si="39"/>
        <v>0.93102321019941181</v>
      </c>
      <c r="F12" s="2">
        <f t="shared" si="39"/>
        <v>0.90571005430311091</v>
      </c>
      <c r="G12" s="2">
        <f t="shared" si="39"/>
        <v>0.59313478041393275</v>
      </c>
      <c r="H12" s="2">
        <f t="shared" si="39"/>
        <v>0.96967129786513007</v>
      </c>
      <c r="I12" s="2">
        <f t="shared" si="39"/>
        <v>0.86896668932698795</v>
      </c>
      <c r="J12" s="2">
        <f t="shared" si="39"/>
        <v>1.0484145925673367</v>
      </c>
      <c r="K12" s="2">
        <f t="shared" si="39"/>
        <v>1.1028905712319339</v>
      </c>
      <c r="L12" s="2">
        <f t="shared" si="39"/>
        <v>1.1981015995781326</v>
      </c>
      <c r="M12" s="2">
        <f t="shared" si="39"/>
        <v>1.1434898139946847</v>
      </c>
      <c r="N12" s="2">
        <f t="shared" si="39"/>
        <v>1.1291361116079408</v>
      </c>
      <c r="O12" s="2">
        <f t="shared" si="39"/>
        <v>0.99442245412018748</v>
      </c>
      <c r="P12" s="2">
        <f t="shared" si="39"/>
        <v>1.3757696486780155</v>
      </c>
      <c r="T12" s="2">
        <f t="shared" ref="T12:AE12" si="40">+T11/T13</f>
        <v>2.7924220153519501</v>
      </c>
      <c r="U12" s="2">
        <f t="shared" si="40"/>
        <v>2.8712209787873704</v>
      </c>
      <c r="V12" s="2">
        <f t="shared" si="40"/>
        <v>2.7674262734584416</v>
      </c>
      <c r="W12" s="2">
        <f t="shared" si="40"/>
        <v>3.1412723175593671</v>
      </c>
      <c r="X12" s="2">
        <f t="shared" si="40"/>
        <v>3.7833417636149047</v>
      </c>
      <c r="Y12" s="2">
        <f t="shared" si="40"/>
        <v>3.2088386775211837</v>
      </c>
      <c r="Z12" s="2">
        <f t="shared" si="40"/>
        <v>3.3310921613643787</v>
      </c>
      <c r="AA12" s="2">
        <f t="shared" si="40"/>
        <v>3.8165213098568356</v>
      </c>
      <c r="AB12" s="2">
        <f t="shared" si="40"/>
        <v>4.0501232539030365</v>
      </c>
      <c r="AC12" s="2">
        <f t="shared" si="40"/>
        <v>3.4771773680864517</v>
      </c>
      <c r="AD12" s="2">
        <f t="shared" si="40"/>
        <v>4.5729867616660007</v>
      </c>
      <c r="AE12" s="2">
        <f t="shared" si="40"/>
        <v>5.1117981946749005</v>
      </c>
      <c r="AF12" s="2">
        <f t="shared" ref="AF12:AO12" si="41">+AF11/AF13</f>
        <v>4.9710129209232505</v>
      </c>
      <c r="AG12" s="2">
        <f t="shared" si="41"/>
        <v>5.2375426851743843</v>
      </c>
      <c r="AH12" s="2">
        <f t="shared" si="41"/>
        <v>5.5165037789594029</v>
      </c>
      <c r="AI12" s="2">
        <f t="shared" si="41"/>
        <v>5.8084462992121075</v>
      </c>
      <c r="AJ12" s="2">
        <f t="shared" si="41"/>
        <v>6.1139441390432037</v>
      </c>
      <c r="AK12" s="2">
        <f t="shared" si="41"/>
        <v>6.4335960065423938</v>
      </c>
      <c r="AL12" s="2">
        <f t="shared" si="41"/>
        <v>6.7680264869895517</v>
      </c>
      <c r="AM12" s="2">
        <f t="shared" si="41"/>
        <v>7.1178871503204437</v>
      </c>
      <c r="AN12" s="2">
        <f t="shared" si="41"/>
        <v>7.4838577057706912</v>
      </c>
      <c r="AO12" s="2">
        <f t="shared" si="41"/>
        <v>7.8666472057034076</v>
      </c>
      <c r="AP12" s="2">
        <f t="shared" ref="AP12:AT12" si="42">+AP11/AP13</f>
        <v>8.266995300711141</v>
      </c>
      <c r="AQ12" s="2">
        <f t="shared" si="42"/>
        <v>8.6856735481714633</v>
      </c>
      <c r="AR12" s="2">
        <f t="shared" si="42"/>
        <v>9.1234867765281376</v>
      </c>
      <c r="AS12" s="2">
        <f t="shared" si="42"/>
        <v>9.5812745076662331</v>
      </c>
      <c r="AT12" s="2">
        <f t="shared" si="42"/>
        <v>10.059912439850114</v>
      </c>
    </row>
    <row r="13" spans="2:142" s="1" customFormat="1" x14ac:dyDescent="0.2">
      <c r="B13" s="1" t="s">
        <v>1</v>
      </c>
      <c r="C13" s="1">
        <f>754.6-143.3</f>
        <v>611.29999999999995</v>
      </c>
      <c r="D13" s="1">
        <f>754.6-151.4</f>
        <v>603.20000000000005</v>
      </c>
      <c r="E13" s="1">
        <f>754.6-142.8</f>
        <v>611.79999999999995</v>
      </c>
      <c r="F13" s="1">
        <f>754.6-146.9</f>
        <v>607.70000000000005</v>
      </c>
      <c r="G13" s="1">
        <f>754.6-160.3</f>
        <v>594.29999999999995</v>
      </c>
      <c r="H13" s="1">
        <f>754.6-164.4</f>
        <v>590.20000000000005</v>
      </c>
      <c r="I13" s="1">
        <f>754.6-166.2</f>
        <v>588.40000000000009</v>
      </c>
      <c r="J13" s="1">
        <f>754.6-168</f>
        <v>586.6</v>
      </c>
      <c r="K13" s="1">
        <f>754.6-173.4</f>
        <v>581.20000000000005</v>
      </c>
      <c r="L13" s="1">
        <f>754.6-185.7</f>
        <v>568.90000000000009</v>
      </c>
      <c r="M13" s="1">
        <f>754.6-190.1</f>
        <v>564.5</v>
      </c>
      <c r="N13" s="1">
        <f>754.6-195.5</f>
        <v>559.1</v>
      </c>
      <c r="O13" s="1">
        <f>754.6-198.8</f>
        <v>555.79999999999995</v>
      </c>
      <c r="P13" s="1">
        <f>754.6-202.4</f>
        <v>552.20000000000005</v>
      </c>
      <c r="S13" s="4">
        <v>-0.01</v>
      </c>
      <c r="T13" s="1">
        <f>754.6-142.3</f>
        <v>612.29999999999995</v>
      </c>
      <c r="U13" s="1">
        <f>754.6-155.9</f>
        <v>598.70000000000005</v>
      </c>
      <c r="V13" s="1">
        <f>754.6-157.8</f>
        <v>596.79999999999995</v>
      </c>
      <c r="W13" s="1">
        <f>754.6-177.7</f>
        <v>576.90000000000009</v>
      </c>
      <c r="X13" s="1">
        <f>754.6-161.5</f>
        <v>593.1</v>
      </c>
      <c r="Y13" s="1">
        <f>754.6-152.7</f>
        <v>601.90000000000009</v>
      </c>
      <c r="Z13" s="1">
        <f>754.6-144.8</f>
        <v>609.79999999999995</v>
      </c>
      <c r="AA13" s="1">
        <f>754.6-146.9</f>
        <v>607.70000000000005</v>
      </c>
      <c r="AB13" s="1">
        <f>+AVERAGE(C13:F13)</f>
        <v>608.5</v>
      </c>
      <c r="AC13" s="1">
        <f>+AVERAGE(G13:J13)</f>
        <v>589.875</v>
      </c>
      <c r="AD13" s="1">
        <f>+AVERAGE(K13:N13)</f>
        <v>568.42500000000007</v>
      </c>
      <c r="AE13" s="1">
        <f>+AD13*0.99</f>
        <v>562.74075000000005</v>
      </c>
      <c r="AF13" s="1">
        <f t="shared" ref="AF13:AO13" si="43">+AE13*0.99</f>
        <v>557.11334250000004</v>
      </c>
      <c r="AG13" s="1">
        <f t="shared" si="43"/>
        <v>551.54220907500007</v>
      </c>
      <c r="AH13" s="1">
        <f t="shared" si="43"/>
        <v>546.02678698425007</v>
      </c>
      <c r="AI13" s="1">
        <f t="shared" si="43"/>
        <v>540.56651911440758</v>
      </c>
      <c r="AJ13" s="1">
        <f t="shared" si="43"/>
        <v>535.16085392326352</v>
      </c>
      <c r="AK13" s="1">
        <f t="shared" si="43"/>
        <v>529.80924538403087</v>
      </c>
      <c r="AL13" s="1">
        <f t="shared" si="43"/>
        <v>524.51115293019052</v>
      </c>
      <c r="AM13" s="1">
        <f t="shared" si="43"/>
        <v>519.26604140088864</v>
      </c>
      <c r="AN13" s="1">
        <f t="shared" si="43"/>
        <v>514.07338098687978</v>
      </c>
      <c r="AO13" s="1">
        <f t="shared" si="43"/>
        <v>508.93264717701101</v>
      </c>
      <c r="AP13" s="1">
        <f t="shared" ref="AP13" si="44">+AO13*0.99</f>
        <v>503.8433207052409</v>
      </c>
      <c r="AQ13" s="1">
        <f t="shared" ref="AQ13" si="45">+AP13*0.99</f>
        <v>498.80488749818846</v>
      </c>
      <c r="AR13" s="1">
        <f>+AQ13*0.99</f>
        <v>493.81683862320659</v>
      </c>
      <c r="AS13" s="1">
        <f>+AR13*0.99</f>
        <v>488.87867023697453</v>
      </c>
      <c r="AT13" s="1">
        <f t="shared" ref="AT13" si="46">+AS13*0.99</f>
        <v>483.98988353460476</v>
      </c>
    </row>
    <row r="15" spans="2:142" s="4" customFormat="1" x14ac:dyDescent="0.2">
      <c r="B15" s="4" t="s">
        <v>18</v>
      </c>
      <c r="C15" s="4">
        <f t="shared" ref="C15:R15" si="47">+C5/C3</f>
        <v>0.36443629697525209</v>
      </c>
      <c r="D15" s="4">
        <f t="shared" si="47"/>
        <v>0.32468152866242034</v>
      </c>
      <c r="E15" s="4">
        <f t="shared" si="47"/>
        <v>0.34378318584070799</v>
      </c>
      <c r="F15" s="4">
        <f t="shared" si="47"/>
        <v>0.34992041736669915</v>
      </c>
      <c r="G15" s="4">
        <f t="shared" si="47"/>
        <v>0.30687213837544519</v>
      </c>
      <c r="H15" s="4">
        <f t="shared" si="47"/>
        <v>0.3266037121458808</v>
      </c>
      <c r="I15" s="4">
        <f t="shared" si="47"/>
        <v>0.32478198950428216</v>
      </c>
      <c r="J15" s="4">
        <f t="shared" si="47"/>
        <v>0.34357852882703771</v>
      </c>
      <c r="K15" s="4">
        <f t="shared" si="47"/>
        <v>0.36098028421717948</v>
      </c>
      <c r="L15" s="4">
        <f t="shared" si="47"/>
        <v>0.34360042028252319</v>
      </c>
      <c r="M15" s="4">
        <f t="shared" si="47"/>
        <v>0.3348368371509256</v>
      </c>
      <c r="N15" s="4">
        <f t="shared" si="47"/>
        <v>0.35815354589617937</v>
      </c>
      <c r="O15" s="4">
        <f t="shared" si="47"/>
        <v>0.34834264969781975</v>
      </c>
      <c r="P15" s="4">
        <f t="shared" si="47"/>
        <v>0.36852350145989587</v>
      </c>
      <c r="Q15" s="4">
        <f t="shared" si="47"/>
        <v>0.37</v>
      </c>
      <c r="R15" s="4">
        <f t="shared" si="47"/>
        <v>0.37</v>
      </c>
      <c r="T15" s="4">
        <f t="shared" ref="T15:AD15" si="48">+T5/T3</f>
        <v>0.35566400142940097</v>
      </c>
      <c r="U15" s="4">
        <f t="shared" si="48"/>
        <v>0.3374417905537625</v>
      </c>
      <c r="V15" s="4">
        <f t="shared" si="48"/>
        <v>0.351957061178161</v>
      </c>
      <c r="W15" s="4">
        <f t="shared" si="48"/>
        <v>0.35620174394038334</v>
      </c>
      <c r="X15" s="4">
        <f t="shared" si="48"/>
        <v>0.34481334654773704</v>
      </c>
      <c r="Y15" s="4">
        <f t="shared" si="48"/>
        <v>0.34134193487180708</v>
      </c>
      <c r="Z15" s="4">
        <f t="shared" si="48"/>
        <v>0.34776417459975256</v>
      </c>
      <c r="AA15" s="4">
        <f t="shared" si="48"/>
        <v>0.3557290230043581</v>
      </c>
      <c r="AB15" s="4">
        <f t="shared" si="48"/>
        <v>0.3449727641658889</v>
      </c>
      <c r="AC15" s="4">
        <f t="shared" si="48"/>
        <v>0.32575569069681781</v>
      </c>
      <c r="AD15" s="4">
        <f t="shared" si="48"/>
        <v>0.34909755655379399</v>
      </c>
      <c r="AE15" s="4">
        <f t="shared" ref="AE15:AO15" si="49">+AE5/AE3</f>
        <v>0.36436015435917429</v>
      </c>
      <c r="AF15" s="4">
        <f t="shared" si="49"/>
        <v>0.35</v>
      </c>
      <c r="AG15" s="4">
        <f t="shared" si="49"/>
        <v>0.35</v>
      </c>
      <c r="AH15" s="4">
        <f t="shared" si="49"/>
        <v>0.35</v>
      </c>
      <c r="AI15" s="4">
        <f t="shared" si="49"/>
        <v>0.35</v>
      </c>
      <c r="AJ15" s="4">
        <f t="shared" si="49"/>
        <v>0.35</v>
      </c>
      <c r="AK15" s="4">
        <f t="shared" si="49"/>
        <v>0.35</v>
      </c>
      <c r="AL15" s="4">
        <f t="shared" si="49"/>
        <v>0.35</v>
      </c>
      <c r="AM15" s="4">
        <f t="shared" si="49"/>
        <v>0.35</v>
      </c>
      <c r="AN15" s="4">
        <f t="shared" si="49"/>
        <v>0.35</v>
      </c>
      <c r="AO15" s="4">
        <f t="shared" si="49"/>
        <v>0.35</v>
      </c>
      <c r="AP15" s="4">
        <f t="shared" ref="AP15:AT15" si="50">+AP5/AP3</f>
        <v>0.35</v>
      </c>
      <c r="AQ15" s="4">
        <f t="shared" si="50"/>
        <v>0.35</v>
      </c>
      <c r="AR15" s="4">
        <f t="shared" si="50"/>
        <v>0.35</v>
      </c>
      <c r="AS15" s="4">
        <f t="shared" si="50"/>
        <v>0.35</v>
      </c>
      <c r="AT15" s="4">
        <f t="shared" si="50"/>
        <v>0.35</v>
      </c>
    </row>
    <row r="16" spans="2:142" s="4" customFormat="1" x14ac:dyDescent="0.2">
      <c r="B16" s="4" t="s">
        <v>48</v>
      </c>
      <c r="C16" s="4">
        <f t="shared" ref="C16:O16" si="51">+C6/C3</f>
        <v>0.16869844179651697</v>
      </c>
      <c r="D16" s="4">
        <f t="shared" si="51"/>
        <v>0.16496815286624203</v>
      </c>
      <c r="E16" s="4">
        <f t="shared" si="51"/>
        <v>0.15847345132743362</v>
      </c>
      <c r="F16" s="4">
        <f t="shared" si="51"/>
        <v>0.18193474224069323</v>
      </c>
      <c r="G16" s="4">
        <f t="shared" si="51"/>
        <v>0.16775479057147699</v>
      </c>
      <c r="H16" s="4">
        <f t="shared" si="51"/>
        <v>0.17127971344838816</v>
      </c>
      <c r="I16" s="4">
        <f t="shared" si="51"/>
        <v>0.18472853547669679</v>
      </c>
      <c r="J16" s="4">
        <f t="shared" si="51"/>
        <v>0.17254473161033798</v>
      </c>
      <c r="K16" s="4">
        <f t="shared" si="51"/>
        <v>0.17112157726262564</v>
      </c>
      <c r="L16" s="4">
        <f t="shared" si="51"/>
        <v>0.16159473868544968</v>
      </c>
      <c r="M16" s="4">
        <f t="shared" si="51"/>
        <v>0.15510276121744587</v>
      </c>
      <c r="N16" s="4">
        <f t="shared" si="51"/>
        <v>0.16935021956341884</v>
      </c>
      <c r="O16" s="4">
        <f t="shared" si="51"/>
        <v>0.17637837503351828</v>
      </c>
      <c r="P16" s="4">
        <f>+P6/P3</f>
        <v>0.1625923169405164</v>
      </c>
      <c r="T16" s="4">
        <f t="shared" ref="T16" si="52">+T6/T3</f>
        <v>0.19399093223745928</v>
      </c>
      <c r="U16" s="4">
        <f t="shared" ref="U16:V16" si="53">+U6/U3</f>
        <v>0.18876593137950007</v>
      </c>
      <c r="V16" s="4">
        <f t="shared" si="53"/>
        <v>0.18830412181294567</v>
      </c>
      <c r="W16" s="4">
        <f t="shared" ref="W16:X16" si="54">+W6/W3</f>
        <v>0.17934288531223194</v>
      </c>
      <c r="X16" s="4">
        <f t="shared" si="54"/>
        <v>0.17487484434957179</v>
      </c>
      <c r="Y16" s="4">
        <f t="shared" ref="Y16:Z16" si="55">+Y6/Y3</f>
        <v>0.17407442544410978</v>
      </c>
      <c r="Z16" s="4">
        <f t="shared" si="55"/>
        <v>0.17879795309361987</v>
      </c>
      <c r="AA16" s="4">
        <f t="shared" ref="AA16:AC16" si="56">+AA6/AA3</f>
        <v>0.16989021901031609</v>
      </c>
      <c r="AB16" s="4">
        <f t="shared" si="56"/>
        <v>0.16842270882614643</v>
      </c>
      <c r="AC16" s="4">
        <f t="shared" si="56"/>
        <v>0.17419952025957741</v>
      </c>
      <c r="AD16" s="4">
        <f>+AD6/AD3</f>
        <v>0.16412182986523782</v>
      </c>
      <c r="AE16" s="4">
        <f t="shared" ref="AE16:AO16" si="57">+AE6/AE3</f>
        <v>0.16</v>
      </c>
      <c r="AF16" s="4">
        <f t="shared" si="57"/>
        <v>0.16</v>
      </c>
      <c r="AG16" s="4">
        <f t="shared" si="57"/>
        <v>0.16</v>
      </c>
      <c r="AH16" s="4">
        <f t="shared" si="57"/>
        <v>0.16</v>
      </c>
      <c r="AI16" s="4">
        <f t="shared" si="57"/>
        <v>0.16</v>
      </c>
      <c r="AJ16" s="4">
        <f t="shared" si="57"/>
        <v>0.16</v>
      </c>
      <c r="AK16" s="4">
        <f t="shared" si="57"/>
        <v>0.16</v>
      </c>
      <c r="AL16" s="4">
        <f t="shared" si="57"/>
        <v>0.16</v>
      </c>
      <c r="AM16" s="4">
        <f t="shared" si="57"/>
        <v>0.16</v>
      </c>
      <c r="AN16" s="4">
        <f t="shared" si="57"/>
        <v>0.16</v>
      </c>
      <c r="AO16" s="4">
        <f t="shared" si="57"/>
        <v>0.16</v>
      </c>
      <c r="AP16" s="4">
        <f t="shared" ref="AP16:AT16" si="58">+AP6/AP3</f>
        <v>0.16</v>
      </c>
      <c r="AQ16" s="4">
        <f t="shared" si="58"/>
        <v>0.16</v>
      </c>
      <c r="AR16" s="4">
        <f t="shared" si="58"/>
        <v>0.16</v>
      </c>
      <c r="AS16" s="4">
        <f t="shared" si="58"/>
        <v>0.16</v>
      </c>
      <c r="AT16" s="4">
        <f t="shared" si="58"/>
        <v>0.16</v>
      </c>
    </row>
    <row r="17" spans="2:49" s="4" customFormat="1" x14ac:dyDescent="0.2">
      <c r="B17" s="4" t="s">
        <v>19</v>
      </c>
      <c r="C17" s="4">
        <f t="shared" ref="C17:P17" si="59">+C7/C3</f>
        <v>0.19573785517873513</v>
      </c>
      <c r="D17" s="4">
        <f t="shared" si="59"/>
        <v>0.15971337579617831</v>
      </c>
      <c r="E17" s="4">
        <f t="shared" si="59"/>
        <v>0.18530973451327437</v>
      </c>
      <c r="F17" s="4">
        <f t="shared" si="59"/>
        <v>0.16798567512600596</v>
      </c>
      <c r="G17" s="4">
        <f t="shared" si="59"/>
        <v>0.13911734780396817</v>
      </c>
      <c r="H17" s="4">
        <f t="shared" si="59"/>
        <v>0.15532399869749267</v>
      </c>
      <c r="I17" s="4">
        <f t="shared" si="59"/>
        <v>0.14005345402758537</v>
      </c>
      <c r="J17" s="4">
        <f t="shared" si="59"/>
        <v>0.17103379721669976</v>
      </c>
      <c r="K17" s="4">
        <f t="shared" si="59"/>
        <v>0.18985870695455381</v>
      </c>
      <c r="L17" s="4">
        <f t="shared" si="59"/>
        <v>0.18200568159707353</v>
      </c>
      <c r="M17" s="4">
        <f t="shared" si="59"/>
        <v>0.1797340759334797</v>
      </c>
      <c r="N17" s="4">
        <f t="shared" si="59"/>
        <v>0.18880332633276053</v>
      </c>
      <c r="O17" s="4">
        <f t="shared" si="59"/>
        <v>0.1719642746643015</v>
      </c>
      <c r="P17" s="4">
        <f t="shared" si="59"/>
        <v>0.20593118451937945</v>
      </c>
      <c r="T17" s="4">
        <f t="shared" ref="T17:AD17" si="60">+T7/T3</f>
        <v>0.16167306919194172</v>
      </c>
      <c r="U17" s="4">
        <f t="shared" si="60"/>
        <v>0.14867585917426243</v>
      </c>
      <c r="V17" s="4">
        <f t="shared" si="60"/>
        <v>0.16365293936521536</v>
      </c>
      <c r="W17" s="4">
        <f t="shared" si="60"/>
        <v>0.1768588586281514</v>
      </c>
      <c r="X17" s="4">
        <f t="shared" si="60"/>
        <v>0.16993850219816525</v>
      </c>
      <c r="Y17" s="4">
        <f t="shared" si="60"/>
        <v>0.16726750942769733</v>
      </c>
      <c r="Z17" s="4">
        <f t="shared" si="60"/>
        <v>0.16896622150613266</v>
      </c>
      <c r="AA17" s="4">
        <f t="shared" si="60"/>
        <v>0.18583880399404201</v>
      </c>
      <c r="AB17" s="4">
        <f t="shared" si="60"/>
        <v>0.1765500553397425</v>
      </c>
      <c r="AC17" s="4">
        <f t="shared" si="60"/>
        <v>0.1515561704372404</v>
      </c>
      <c r="AD17" s="4">
        <f t="shared" si="60"/>
        <v>0.18497572668855616</v>
      </c>
      <c r="AE17" s="4">
        <f t="shared" ref="AE17:AO17" si="61">+AE7/AE3</f>
        <v>0.20436015435917429</v>
      </c>
      <c r="AF17" s="4">
        <f t="shared" si="61"/>
        <v>0.19</v>
      </c>
      <c r="AG17" s="4">
        <f t="shared" si="61"/>
        <v>0.18999999999999997</v>
      </c>
      <c r="AH17" s="4">
        <f t="shared" si="61"/>
        <v>0.18999999999999995</v>
      </c>
      <c r="AI17" s="4">
        <f t="shared" si="61"/>
        <v>0.18999999999999997</v>
      </c>
      <c r="AJ17" s="4">
        <f t="shared" si="61"/>
        <v>0.18999999999999995</v>
      </c>
      <c r="AK17" s="4">
        <f t="shared" si="61"/>
        <v>0.18999999999999997</v>
      </c>
      <c r="AL17" s="4">
        <f t="shared" si="61"/>
        <v>0.18999999999999997</v>
      </c>
      <c r="AM17" s="4">
        <f t="shared" si="61"/>
        <v>0.18999999999999995</v>
      </c>
      <c r="AN17" s="4">
        <f t="shared" si="61"/>
        <v>0.18999999999999997</v>
      </c>
      <c r="AO17" s="4">
        <f t="shared" si="61"/>
        <v>0.18999999999999997</v>
      </c>
      <c r="AP17" s="4">
        <f t="shared" ref="AP17:AT17" si="62">+AP7/AP3</f>
        <v>0.19</v>
      </c>
      <c r="AQ17" s="4">
        <f t="shared" si="62"/>
        <v>0.18999999999999997</v>
      </c>
      <c r="AR17" s="4">
        <f t="shared" si="62"/>
        <v>0.18999999999999997</v>
      </c>
      <c r="AS17" s="4">
        <f t="shared" si="62"/>
        <v>0.18999999999999997</v>
      </c>
      <c r="AT17" s="4">
        <f t="shared" si="62"/>
        <v>0.18999999999999997</v>
      </c>
    </row>
    <row r="18" spans="2:49" s="4" customFormat="1" x14ac:dyDescent="0.2">
      <c r="B18" s="4" t="s">
        <v>20</v>
      </c>
      <c r="C18" s="4">
        <f t="shared" ref="C18:P18" si="63">+C11/C3</f>
        <v>0.18205774518790102</v>
      </c>
      <c r="D18" s="4">
        <f t="shared" si="63"/>
        <v>0.10947452229299358</v>
      </c>
      <c r="E18" s="4">
        <f t="shared" si="63"/>
        <v>0.12601769911504429</v>
      </c>
      <c r="F18" s="4">
        <f t="shared" si="63"/>
        <v>0.12167300380228148</v>
      </c>
      <c r="G18" s="4">
        <f t="shared" si="63"/>
        <v>7.4720196710191672E-2</v>
      </c>
      <c r="H18" s="4">
        <f t="shared" si="63"/>
        <v>0.10962131514930945</v>
      </c>
      <c r="I18" s="4">
        <f t="shared" si="63"/>
        <v>9.9748336877426375E-2</v>
      </c>
      <c r="J18" s="4">
        <f t="shared" si="63"/>
        <v>0.12226640159045721</v>
      </c>
      <c r="K18" s="4">
        <f t="shared" si="63"/>
        <v>0.13069096988602769</v>
      </c>
      <c r="L18" s="4">
        <f t="shared" si="63"/>
        <v>0.13262248511499392</v>
      </c>
      <c r="M18" s="4">
        <f t="shared" si="63"/>
        <v>0.12658848446815177</v>
      </c>
      <c r="N18" s="4">
        <f t="shared" si="63"/>
        <v>0.13392307855491203</v>
      </c>
      <c r="O18" s="4">
        <f t="shared" si="63"/>
        <v>0.11400342402178175</v>
      </c>
      <c r="P18" s="4">
        <f t="shared" si="63"/>
        <v>0.14497814927196051</v>
      </c>
      <c r="T18" s="4">
        <f t="shared" ref="T18:AD18" si="64">+T11/T3</f>
        <v>9.5468352168669265E-2</v>
      </c>
      <c r="U18" s="4">
        <f t="shared" si="64"/>
        <v>9.7502594964351083E-2</v>
      </c>
      <c r="V18" s="4">
        <f t="shared" si="64"/>
        <v>9.9715632943108354E-2</v>
      </c>
      <c r="W18" s="4">
        <f t="shared" si="64"/>
        <v>0.1160194112600673</v>
      </c>
      <c r="X18" s="4">
        <f t="shared" si="64"/>
        <v>0.14255673299280833</v>
      </c>
      <c r="Y18" s="4">
        <f t="shared" si="64"/>
        <v>0.11451983966985275</v>
      </c>
      <c r="Z18" s="4">
        <f t="shared" si="64"/>
        <v>0.11524060227156672</v>
      </c>
      <c r="AA18" s="4">
        <f t="shared" si="64"/>
        <v>0.12794726099189052</v>
      </c>
      <c r="AB18" s="4">
        <f t="shared" si="64"/>
        <v>0.13371058399704844</v>
      </c>
      <c r="AC18" s="4">
        <f t="shared" si="64"/>
        <v>0.10207423037493386</v>
      </c>
      <c r="AD18" s="4">
        <f t="shared" si="64"/>
        <v>0.13090465926716743</v>
      </c>
      <c r="AE18" s="4">
        <f t="shared" ref="AE18:AO18" si="65">+AE11/AE3</f>
        <v>0.14391112435734366</v>
      </c>
      <c r="AF18" s="4">
        <f t="shared" si="65"/>
        <v>0.13717639292023687</v>
      </c>
      <c r="AG18" s="4">
        <f t="shared" si="65"/>
        <v>0.1416693440531529</v>
      </c>
      <c r="AH18" s="4">
        <f t="shared" si="65"/>
        <v>0.14626016144837009</v>
      </c>
      <c r="AI18" s="4">
        <f t="shared" si="65"/>
        <v>0.15095097684625541</v>
      </c>
      <c r="AJ18" s="4">
        <f t="shared" si="65"/>
        <v>0.15574396842112428</v>
      </c>
      <c r="AK18" s="4">
        <f t="shared" si="65"/>
        <v>0.16064136179267358</v>
      </c>
      <c r="AL18" s="4">
        <f t="shared" si="65"/>
        <v>0.16564543105944468</v>
      </c>
      <c r="AM18" s="4">
        <f t="shared" si="65"/>
        <v>0.17075849985479891</v>
      </c>
      <c r="AN18" s="4">
        <f t="shared" si="65"/>
        <v>0.17598294242589352</v>
      </c>
      <c r="AO18" s="4">
        <f t="shared" si="65"/>
        <v>0.18132118473616052</v>
      </c>
      <c r="AP18" s="4">
        <f t="shared" ref="AP18:AT18" si="66">+AP11/AP3</f>
        <v>0.18677570559179968</v>
      </c>
      <c r="AQ18" s="4">
        <f t="shared" si="66"/>
        <v>0.19234903779280918</v>
      </c>
      <c r="AR18" s="4">
        <f t="shared" si="66"/>
        <v>0.19804376930908818</v>
      </c>
      <c r="AS18" s="4">
        <f t="shared" si="66"/>
        <v>0.20386254448215743</v>
      </c>
      <c r="AT18" s="4">
        <f t="shared" si="66"/>
        <v>0.2098080652530559</v>
      </c>
    </row>
    <row r="19" spans="2:49" s="4" customFormat="1" x14ac:dyDescent="0.2">
      <c r="B19" s="4" t="s">
        <v>21</v>
      </c>
      <c r="C19" s="4">
        <f t="shared" ref="C19:P19" si="67">+C10/C9</f>
        <v>0.17693981145757795</v>
      </c>
      <c r="D19" s="4">
        <f t="shared" si="67"/>
        <v>0.22502465830632665</v>
      </c>
      <c r="E19" s="4">
        <f t="shared" si="67"/>
        <v>0.22143247676325856</v>
      </c>
      <c r="F19" s="4">
        <f t="shared" si="67"/>
        <v>0.16263502205994207</v>
      </c>
      <c r="G19" s="4">
        <f t="shared" si="67"/>
        <v>0.38005627857896568</v>
      </c>
      <c r="H19" s="4">
        <f t="shared" si="67"/>
        <v>0.20447595218237424</v>
      </c>
      <c r="I19" s="4">
        <f t="shared" si="67"/>
        <v>0.17479018721755976</v>
      </c>
      <c r="J19" s="4">
        <f t="shared" si="67"/>
        <v>0.1861849940452561</v>
      </c>
      <c r="K19" s="4">
        <f t="shared" si="67"/>
        <v>0.21272414640137555</v>
      </c>
      <c r="L19" s="4">
        <f t="shared" si="67"/>
        <v>0.1663405088062623</v>
      </c>
      <c r="M19" s="4">
        <f t="shared" si="67"/>
        <v>0.18784599899345758</v>
      </c>
      <c r="N19" s="4">
        <f t="shared" si="67"/>
        <v>0.17724488466049793</v>
      </c>
      <c r="O19" s="4">
        <f t="shared" si="67"/>
        <v>0.22165892127869311</v>
      </c>
      <c r="P19" s="4">
        <f t="shared" si="67"/>
        <v>0.20408590885280245</v>
      </c>
      <c r="T19" s="4">
        <f t="shared" ref="T19:AD19" si="68">+T10/T9</f>
        <v>0.34063476148239569</v>
      </c>
      <c r="U19" s="4">
        <f t="shared" si="68"/>
        <v>0.25448868071818903</v>
      </c>
      <c r="V19" s="4">
        <f t="shared" si="68"/>
        <v>0.31377763004819709</v>
      </c>
      <c r="W19" s="4">
        <f t="shared" si="68"/>
        <v>0.2655426765015807</v>
      </c>
      <c r="X19" s="4">
        <f t="shared" si="68"/>
        <v>2.4900052146706063E-2</v>
      </c>
      <c r="Y19" s="4">
        <f t="shared" si="68"/>
        <v>0.15996868475991644</v>
      </c>
      <c r="Z19" s="4">
        <f t="shared" si="68"/>
        <v>0.19129707779281807</v>
      </c>
      <c r="AA19" s="4">
        <f t="shared" si="68"/>
        <v>0.21336996336996344</v>
      </c>
      <c r="AB19" s="4">
        <f t="shared" si="68"/>
        <v>0.19563301674336642</v>
      </c>
      <c r="AC19" s="4">
        <f t="shared" si="68"/>
        <v>0.22986520482108702</v>
      </c>
      <c r="AD19" s="4">
        <f t="shared" si="68"/>
        <v>0.18613607188703485</v>
      </c>
      <c r="AE19" s="4">
        <f t="shared" ref="AE19:AO19" si="69">+AE10/AE9</f>
        <v>0.2</v>
      </c>
      <c r="AF19" s="4">
        <f t="shared" si="69"/>
        <v>0.20000000000000004</v>
      </c>
      <c r="AG19" s="4">
        <f t="shared" si="69"/>
        <v>0.2</v>
      </c>
      <c r="AH19" s="4">
        <f t="shared" si="69"/>
        <v>0.2</v>
      </c>
      <c r="AI19" s="4">
        <f t="shared" si="69"/>
        <v>0.2</v>
      </c>
      <c r="AJ19" s="4">
        <f t="shared" si="69"/>
        <v>0.2</v>
      </c>
      <c r="AK19" s="4">
        <f t="shared" si="69"/>
        <v>0.2</v>
      </c>
      <c r="AL19" s="4">
        <f t="shared" si="69"/>
        <v>0.2</v>
      </c>
      <c r="AM19" s="4">
        <f t="shared" si="69"/>
        <v>0.2</v>
      </c>
      <c r="AN19" s="4">
        <f t="shared" si="69"/>
        <v>0.2</v>
      </c>
      <c r="AO19" s="4">
        <f t="shared" si="69"/>
        <v>0.2</v>
      </c>
      <c r="AP19" s="4">
        <f t="shared" ref="AP19:AT19" si="70">+AP10/AP9</f>
        <v>0.19999999999999998</v>
      </c>
      <c r="AQ19" s="4">
        <f t="shared" si="70"/>
        <v>0.2</v>
      </c>
      <c r="AR19" s="4">
        <f t="shared" si="70"/>
        <v>0.2</v>
      </c>
      <c r="AS19" s="4">
        <f t="shared" si="70"/>
        <v>0.19999999999999998</v>
      </c>
      <c r="AT19" s="4">
        <f t="shared" si="70"/>
        <v>0.19999999999999998</v>
      </c>
    </row>
    <row r="20" spans="2:49" s="4" customFormat="1" x14ac:dyDescent="0.2">
      <c r="AV20" s="4" t="s">
        <v>90</v>
      </c>
      <c r="AW20" s="4">
        <f>+AE27</f>
        <v>0.04</v>
      </c>
    </row>
    <row r="21" spans="2:49" s="6" customFormat="1" x14ac:dyDescent="0.2">
      <c r="B21" s="6" t="s">
        <v>17</v>
      </c>
      <c r="G21" s="6">
        <f t="shared" ref="G21:P21" si="71">+G3/C3-1</f>
        <v>8.1026581118240237E-2</v>
      </c>
      <c r="H21" s="6">
        <f t="shared" si="71"/>
        <v>3.9152070063694255E-2</v>
      </c>
      <c r="I21" s="6">
        <f t="shared" si="71"/>
        <v>0.13404867256637165</v>
      </c>
      <c r="J21" s="6">
        <f t="shared" si="71"/>
        <v>0.11194623750994781</v>
      </c>
      <c r="K21" s="6">
        <f t="shared" si="71"/>
        <v>3.965999660844477E-2</v>
      </c>
      <c r="L21" s="6">
        <f t="shared" si="71"/>
        <v>-1.5572624360717935E-2</v>
      </c>
      <c r="M21" s="6">
        <f t="shared" si="71"/>
        <v>-5.2088413741976369E-3</v>
      </c>
      <c r="N21" s="6">
        <f t="shared" si="71"/>
        <v>-6.284294234592458E-2</v>
      </c>
      <c r="O21" s="6">
        <f t="shared" si="71"/>
        <v>-1.1539951475115551E-2</v>
      </c>
      <c r="P21" s="6">
        <f t="shared" si="71"/>
        <v>1.9593726894190144E-2</v>
      </c>
      <c r="U21" s="6">
        <f t="shared" ref="U21:AE21" si="72">+U3/T3-1</f>
        <v>-1.5594988162773049E-2</v>
      </c>
      <c r="V21" s="6">
        <f t="shared" si="72"/>
        <v>-6.0532152033714759E-2</v>
      </c>
      <c r="W21" s="6">
        <f t="shared" si="72"/>
        <v>-5.6951899101013614E-2</v>
      </c>
      <c r="X21" s="6">
        <f t="shared" si="72"/>
        <v>7.7209695386624144E-3</v>
      </c>
      <c r="Y21" s="6">
        <f t="shared" si="72"/>
        <v>7.1459429239409511E-2</v>
      </c>
      <c r="Z21" s="6">
        <f t="shared" si="72"/>
        <v>4.5146218248226955E-2</v>
      </c>
      <c r="AA21" s="6">
        <f t="shared" si="72"/>
        <v>2.8388912212224726E-2</v>
      </c>
      <c r="AB21" s="6">
        <f t="shared" si="72"/>
        <v>1.6803663044077766E-2</v>
      </c>
      <c r="AC21" s="6">
        <f t="shared" si="72"/>
        <v>9.0203780463985694E-2</v>
      </c>
      <c r="AD21" s="6">
        <f t="shared" si="72"/>
        <v>-1.1794448149217152E-2</v>
      </c>
      <c r="AE21" s="6">
        <f t="shared" si="72"/>
        <v>6.6295822170299168E-3</v>
      </c>
      <c r="AF21" s="6">
        <f t="shared" ref="AF21:AO21" si="73">+AF3/AE3-1</f>
        <v>1.0000000000000009E-2</v>
      </c>
      <c r="AG21" s="6">
        <f t="shared" si="73"/>
        <v>1.0000000000000009E-2</v>
      </c>
      <c r="AH21" s="6">
        <f t="shared" si="73"/>
        <v>1.0000000000000009E-2</v>
      </c>
      <c r="AI21" s="6">
        <f t="shared" si="73"/>
        <v>1.0000000000000009E-2</v>
      </c>
      <c r="AJ21" s="6">
        <f t="shared" si="73"/>
        <v>1.0000000000000009E-2</v>
      </c>
      <c r="AK21" s="6">
        <f t="shared" si="73"/>
        <v>1.0000000000000009E-2</v>
      </c>
      <c r="AL21" s="6">
        <f t="shared" si="73"/>
        <v>1.0000000000000009E-2</v>
      </c>
      <c r="AM21" s="6">
        <f t="shared" si="73"/>
        <v>1.0000000000000009E-2</v>
      </c>
      <c r="AN21" s="6">
        <f t="shared" si="73"/>
        <v>1.0000000000000009E-2</v>
      </c>
      <c r="AO21" s="6">
        <f t="shared" si="73"/>
        <v>1.0000000000000009E-2</v>
      </c>
      <c r="AP21" s="6">
        <f t="shared" ref="AP21" si="74">+AP3/AO3-1</f>
        <v>1.0000000000000009E-2</v>
      </c>
      <c r="AQ21" s="6">
        <f t="shared" ref="AQ21" si="75">+AQ3/AP3-1</f>
        <v>1.0000000000000009E-2</v>
      </c>
      <c r="AR21" s="6">
        <f t="shared" ref="AR21" si="76">+AR3/AQ3-1</f>
        <v>1.0000000000000009E-2</v>
      </c>
      <c r="AS21" s="6">
        <f t="shared" ref="AS21" si="77">+AS3/AR3-1</f>
        <v>1.0000000000000009E-2</v>
      </c>
      <c r="AT21" s="6">
        <f t="shared" ref="AT21" si="78">+AT3/AS3-1</f>
        <v>1.0000000000000009E-2</v>
      </c>
      <c r="AV21" s="4" t="s">
        <v>91</v>
      </c>
      <c r="AW21" s="4">
        <v>-0.01</v>
      </c>
    </row>
    <row r="22" spans="2:49" s="4" customFormat="1" x14ac:dyDescent="0.2">
      <c r="B22" s="4" t="s">
        <v>57</v>
      </c>
      <c r="G22" s="4">
        <f t="shared" ref="G22:O22" si="79">+G4/C4-1</f>
        <v>0.17893712143063167</v>
      </c>
      <c r="H22" s="4">
        <f t="shared" si="79"/>
        <v>3.6194293798632371E-2</v>
      </c>
      <c r="I22" s="4">
        <f t="shared" si="79"/>
        <v>0.16688580964903399</v>
      </c>
      <c r="J22" s="4">
        <f t="shared" si="79"/>
        <v>0.12279389261060314</v>
      </c>
      <c r="K22" s="4">
        <f t="shared" si="79"/>
        <v>-4.1499740053212664E-2</v>
      </c>
      <c r="L22" s="4">
        <f t="shared" si="79"/>
        <v>-4.0419842985550125E-2</v>
      </c>
      <c r="M22" s="4">
        <f t="shared" si="79"/>
        <v>-2.002253618791705E-2</v>
      </c>
      <c r="N22" s="4">
        <f t="shared" si="79"/>
        <v>-8.3651341692410286E-2</v>
      </c>
      <c r="O22" s="4">
        <f t="shared" si="79"/>
        <v>8.0084232020931623E-3</v>
      </c>
      <c r="P22" s="4">
        <f>+P4/L4-1</f>
        <v>-1.9119608714984415E-2</v>
      </c>
      <c r="U22" s="4">
        <f t="shared" ref="U22:AC22" si="80">+U4/T4-1</f>
        <v>1.224457962876313E-2</v>
      </c>
      <c r="V22" s="4">
        <f t="shared" si="80"/>
        <v>-8.1113936187516611E-2</v>
      </c>
      <c r="W22" s="4">
        <f t="shared" si="80"/>
        <v>-6.3128866363568625E-2</v>
      </c>
      <c r="X22" s="4">
        <f t="shared" si="80"/>
        <v>2.5546937151949001E-2</v>
      </c>
      <c r="Y22" s="4">
        <f t="shared" si="80"/>
        <v>7.7136401981983793E-2</v>
      </c>
      <c r="Z22" s="4">
        <f t="shared" si="80"/>
        <v>3.4955529149112374E-2</v>
      </c>
      <c r="AA22" s="4">
        <f t="shared" si="80"/>
        <v>1.5830629658945661E-2</v>
      </c>
      <c r="AB22" s="4">
        <f t="shared" si="80"/>
        <v>3.3779444629967292E-2</v>
      </c>
      <c r="AC22" s="4">
        <f t="shared" si="80"/>
        <v>0.12218798661498198</v>
      </c>
      <c r="AD22" s="4">
        <f>+AD4/AC4-1</f>
        <v>-4.600543237577881E-2</v>
      </c>
      <c r="AV22" s="4" t="s">
        <v>92</v>
      </c>
      <c r="AW22" s="4">
        <v>0.09</v>
      </c>
    </row>
    <row r="23" spans="2:49" s="4" customFormat="1" x14ac:dyDescent="0.2">
      <c r="B23" s="4" t="s">
        <v>58</v>
      </c>
      <c r="G23" s="4">
        <f t="shared" ref="G23:O23" si="81">+G6/C6-1</f>
        <v>7.4979625101874392E-2</v>
      </c>
      <c r="H23" s="4">
        <f t="shared" si="81"/>
        <v>7.8909266409266543E-2</v>
      </c>
      <c r="I23" s="4">
        <f t="shared" si="81"/>
        <v>0.32193215133324027</v>
      </c>
      <c r="J23" s="4">
        <f t="shared" si="81"/>
        <v>5.4556500607533476E-2</v>
      </c>
      <c r="K23" s="4">
        <f t="shared" si="81"/>
        <v>6.0525650745514303E-2</v>
      </c>
      <c r="L23" s="4">
        <f t="shared" si="81"/>
        <v>-7.1236859762916604E-2</v>
      </c>
      <c r="M23" s="4">
        <f t="shared" si="81"/>
        <v>-0.16474812546203399</v>
      </c>
      <c r="N23" s="4">
        <f t="shared" si="81"/>
        <v>-8.0193570687867255E-2</v>
      </c>
      <c r="O23" s="4">
        <f t="shared" si="81"/>
        <v>1.8825211485762106E-2</v>
      </c>
      <c r="P23" s="4">
        <f>+P6/L6-1</f>
        <v>2.588801926550266E-2</v>
      </c>
      <c r="U23" s="4">
        <f t="shared" ref="U23:AC23" si="82">+U6/T6-1</f>
        <v>-4.2109201853610889E-2</v>
      </c>
      <c r="V23" s="4">
        <f t="shared" si="82"/>
        <v>-6.283052884615381E-2</v>
      </c>
      <c r="W23" s="4">
        <f t="shared" si="82"/>
        <v>-0.10183077367020421</v>
      </c>
      <c r="X23" s="4">
        <f t="shared" si="82"/>
        <v>-1.7384785635240929E-2</v>
      </c>
      <c r="Y23" s="4">
        <f t="shared" si="82"/>
        <v>6.6555256848070954E-2</v>
      </c>
      <c r="Z23" s="4">
        <f t="shared" si="82"/>
        <v>7.3506369643708602E-2</v>
      </c>
      <c r="AA23" s="4">
        <f t="shared" si="82"/>
        <v>-2.284553877395612E-2</v>
      </c>
      <c r="AB23" s="4">
        <f t="shared" si="82"/>
        <v>8.0205221457332332E-3</v>
      </c>
      <c r="AC23" s="4">
        <f t="shared" si="82"/>
        <v>0.12759720387849116</v>
      </c>
      <c r="AD23" s="4">
        <f>+AD6/AC6-1</f>
        <v>-6.8963547023197402E-2</v>
      </c>
      <c r="AV23" s="4" t="s">
        <v>93</v>
      </c>
      <c r="AW23" s="1">
        <f>+NPV(AW22,AE11:EL11)</f>
        <v>40744.833086655613</v>
      </c>
    </row>
    <row r="24" spans="2:49" s="4" customFormat="1" x14ac:dyDescent="0.2">
      <c r="B24" s="4" t="s">
        <v>59</v>
      </c>
      <c r="G24" s="4">
        <f t="shared" ref="G24:O24" si="83">+G7/C7-1</f>
        <v>-0.2316787637555604</v>
      </c>
      <c r="H24" s="4">
        <f t="shared" si="83"/>
        <v>1.0593220338983134E-2</v>
      </c>
      <c r="I24" s="4">
        <f t="shared" si="83"/>
        <v>-0.14290830945558786</v>
      </c>
      <c r="J24" s="4">
        <f t="shared" si="83"/>
        <v>0.13212264771680382</v>
      </c>
      <c r="K24" s="4">
        <f t="shared" si="83"/>
        <v>0.41886332469907006</v>
      </c>
      <c r="L24" s="4">
        <f t="shared" si="83"/>
        <v>0.1535331113577505</v>
      </c>
      <c r="M24" s="4">
        <f t="shared" si="83"/>
        <v>0.27664020058503969</v>
      </c>
      <c r="N24" s="4">
        <f t="shared" si="83"/>
        <v>3.4522840869464E-2</v>
      </c>
      <c r="O24" s="4">
        <f t="shared" si="83"/>
        <v>-0.10470360824742253</v>
      </c>
      <c r="P24" s="4">
        <f>+P7/L7-1</f>
        <v>0.15362411802437537</v>
      </c>
      <c r="U24" s="4">
        <f t="shared" ref="U24:AC24" si="84">+U7/T7-1</f>
        <v>-9.473320670005192E-2</v>
      </c>
      <c r="V24" s="4">
        <f t="shared" si="84"/>
        <v>3.410651609949622E-2</v>
      </c>
      <c r="W24" s="4">
        <f t="shared" si="84"/>
        <v>1.9147052313141399E-2</v>
      </c>
      <c r="X24" s="4">
        <f t="shared" si="84"/>
        <v>-3.1710407239818661E-2</v>
      </c>
      <c r="Y24" s="4">
        <f t="shared" si="84"/>
        <v>5.4618864256608113E-2</v>
      </c>
      <c r="Z24" s="4">
        <f t="shared" si="84"/>
        <v>5.5760368663593463E-2</v>
      </c>
      <c r="AA24" s="4">
        <f t="shared" si="84"/>
        <v>0.13108148944028541</v>
      </c>
      <c r="AB24" s="4">
        <f t="shared" si="84"/>
        <v>-3.4019057796776719E-2</v>
      </c>
      <c r="AC24" s="4">
        <f t="shared" si="84"/>
        <v>-6.4134476506561677E-2</v>
      </c>
      <c r="AD24" s="4">
        <f>+AD7/AC7-1</f>
        <v>0.2061141393577206</v>
      </c>
      <c r="AV24" s="4" t="s">
        <v>94</v>
      </c>
      <c r="AW24" s="1">
        <f>+AD28</f>
        <v>-12228.8</v>
      </c>
    </row>
    <row r="25" spans="2:49" s="4" customFormat="1" x14ac:dyDescent="0.2">
      <c r="B25" s="4" t="s">
        <v>60</v>
      </c>
      <c r="G25" s="4">
        <f t="shared" ref="G25:O25" si="85">+G11/C11-1</f>
        <v>-0.55632473253618597</v>
      </c>
      <c r="H25" s="4">
        <f t="shared" si="85"/>
        <v>4.0545454545454662E-2</v>
      </c>
      <c r="I25" s="4">
        <f t="shared" si="85"/>
        <v>-0.10235252808988826</v>
      </c>
      <c r="J25" s="4">
        <f t="shared" si="85"/>
        <v>0.11736918604651003</v>
      </c>
      <c r="K25" s="4">
        <f t="shared" si="85"/>
        <v>0.81843971631205559</v>
      </c>
      <c r="L25" s="4">
        <f t="shared" si="85"/>
        <v>0.19098374978158295</v>
      </c>
      <c r="M25" s="4">
        <f t="shared" si="85"/>
        <v>0.26246821826716182</v>
      </c>
      <c r="N25" s="4">
        <f t="shared" si="85"/>
        <v>2.6504065040650282E-2</v>
      </c>
      <c r="O25" s="4">
        <f t="shared" si="85"/>
        <v>-0.13775351014040538</v>
      </c>
      <c r="P25" s="4">
        <f>+P11/L11-1</f>
        <v>0.11458333333333415</v>
      </c>
      <c r="U25" s="4">
        <f t="shared" ref="U25:AC25" si="86">+U11/T11-1</f>
        <v>5.3807462861152899E-3</v>
      </c>
      <c r="V25" s="4">
        <f t="shared" si="86"/>
        <v>-3.9208842350204165E-2</v>
      </c>
      <c r="W25" s="4">
        <f t="shared" si="86"/>
        <v>9.7239040930008125E-2</v>
      </c>
      <c r="X25" s="4">
        <f t="shared" si="86"/>
        <v>0.23821873965346052</v>
      </c>
      <c r="Y25" s="4">
        <f t="shared" si="86"/>
        <v>-0.1392664557244081</v>
      </c>
      <c r="Z25" s="4">
        <f t="shared" si="86"/>
        <v>5.1724137931032921E-2</v>
      </c>
      <c r="AA25" s="4">
        <f t="shared" si="86"/>
        <v>0.1417811253876835</v>
      </c>
      <c r="AB25" s="4">
        <f t="shared" si="86"/>
        <v>6.2605096365281998E-2</v>
      </c>
      <c r="AC25" s="4">
        <f t="shared" si="86"/>
        <v>-0.16774193548387195</v>
      </c>
      <c r="AD25" s="4">
        <f>+AD11/AC11-1</f>
        <v>0.26731997464775104</v>
      </c>
      <c r="AV25" s="4" t="s">
        <v>95</v>
      </c>
      <c r="AW25" s="1">
        <f>+AW23+AW24</f>
        <v>28516.033086655614</v>
      </c>
    </row>
    <row r="26" spans="2:49" x14ac:dyDescent="0.2">
      <c r="AV26" s="4" t="s">
        <v>0</v>
      </c>
      <c r="AW26" s="2">
        <f>+AW25/Main!L4</f>
        <v>51.731524812237353</v>
      </c>
    </row>
    <row r="27" spans="2:49" x14ac:dyDescent="0.2">
      <c r="P27" s="4">
        <f>+SUM(M8:P8)/P28</f>
        <v>4.0281957346591658E-2</v>
      </c>
      <c r="AC27" s="4"/>
      <c r="AD27" s="4"/>
      <c r="AE27" s="4">
        <f>+AE8/AD28</f>
        <v>0.04</v>
      </c>
      <c r="AF27" s="4"/>
      <c r="AG27" s="4"/>
      <c r="AH27" s="4"/>
      <c r="AI27" s="4"/>
      <c r="AJ27" s="4"/>
      <c r="AK27" s="4"/>
      <c r="AL27" s="4"/>
      <c r="AV27" s="4" t="s">
        <v>96</v>
      </c>
      <c r="AW27" s="2">
        <v>59.63</v>
      </c>
    </row>
    <row r="28" spans="2:49" x14ac:dyDescent="0.2">
      <c r="P28" s="1">
        <f>+Main!L6-Main!L7</f>
        <v>-12228.8</v>
      </c>
      <c r="AC28" s="1"/>
      <c r="AD28" s="1">
        <f>+Main!L6-Main!L7</f>
        <v>-12228.8</v>
      </c>
      <c r="AE28" s="1">
        <f>+AD28+AE11</f>
        <v>-9352.1828500800002</v>
      </c>
      <c r="AF28" s="1">
        <f t="shared" ref="AF28:AO28" si="87">+AE28+AF11</f>
        <v>-6582.7652260937593</v>
      </c>
      <c r="AG28" s="1">
        <f t="shared" si="87"/>
        <v>-3694.0393633880717</v>
      </c>
      <c r="AH28" s="1">
        <f t="shared" si="87"/>
        <v>-681.88052957639547</v>
      </c>
      <c r="AI28" s="1">
        <f t="shared" si="87"/>
        <v>2457.9710678516562</v>
      </c>
      <c r="AJ28" s="1">
        <f t="shared" si="87"/>
        <v>5729.9146341411488</v>
      </c>
      <c r="AK28" s="1">
        <f t="shared" si="87"/>
        <v>9138.4932794730885</v>
      </c>
      <c r="AL28" s="1">
        <f t="shared" si="87"/>
        <v>12688.398655226045</v>
      </c>
      <c r="AM28" s="1">
        <f t="shared" si="87"/>
        <v>16384.475738911195</v>
      </c>
      <c r="AN28" s="1">
        <f t="shared" si="87"/>
        <v>20231.727772541446</v>
      </c>
      <c r="AO28" s="1">
        <f t="shared" si="87"/>
        <v>24235.321359347719</v>
      </c>
      <c r="AP28" s="1">
        <f t="shared" ref="AP28" si="88">+AO28+AP11</f>
        <v>28400.591723912643</v>
      </c>
      <c r="AQ28" s="1">
        <f t="shared" ref="AQ28" si="89">+AP28+AQ11</f>
        <v>32733.048140954299</v>
      </c>
      <c r="AR28" s="1">
        <f>+AQ28+AR11</f>
        <v>37238.37953816005</v>
      </c>
      <c r="AS28" s="1">
        <f t="shared" ref="AS28" si="90">+AR28+AS11</f>
        <v>41922.460278643339</v>
      </c>
      <c r="AT28" s="1">
        <f t="shared" ref="AT28" si="91">+AS28+AT11</f>
        <v>46791.356128774714</v>
      </c>
      <c r="AV28" s="4" t="s">
        <v>97</v>
      </c>
      <c r="AW28" s="4">
        <f>+AW26/AW27-1</f>
        <v>-0.13245807794336151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2025-01-18T17:39:40Z</dcterms:created>
  <dcterms:modified xsi:type="dcterms:W3CDTF">2025-01-19T20:24:24Z</dcterms:modified>
</cp:coreProperties>
</file>