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Internet\"/>
    </mc:Choice>
  </mc:AlternateContent>
  <xr:revisionPtr revIDLastSave="0" documentId="13_ncr:1_{7E02FAFB-135D-4CFC-8B8E-EE5362B4A023}" xr6:coauthVersionLast="47" xr6:coauthVersionMax="47" xr10:uidLastSave="{00000000-0000-0000-0000-000000000000}"/>
  <bookViews>
    <workbookView xWindow="11145" yWindow="30" windowWidth="14400" windowHeight="15495" activeTab="1" xr2:uid="{EB2DE920-59D8-440F-A1C7-D8F91E7CA330}"/>
  </bookViews>
  <sheets>
    <sheet name="Main" sheetId="1" r:id="rId1"/>
    <sheet name="Model" sheetId="2" r:id="rId2"/>
    <sheet name="Advertising" sheetId="4" r:id="rId3"/>
    <sheet name="Graphs" sheetId="3" r:id="rId4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24" i="2" l="1"/>
  <c r="AJ86" i="2"/>
  <c r="AI85" i="2" l="1"/>
  <c r="AI84" i="2"/>
  <c r="Q86" i="2"/>
  <c r="P86" i="2"/>
  <c r="O86" i="2"/>
  <c r="N86" i="2"/>
  <c r="M86" i="2"/>
  <c r="L86" i="2"/>
  <c r="R86" i="2"/>
  <c r="AH84" i="2"/>
  <c r="AI86" i="2"/>
  <c r="AH85" i="2"/>
  <c r="AH132" i="2"/>
  <c r="AH131" i="2"/>
  <c r="AH130" i="2"/>
  <c r="AH129" i="2"/>
  <c r="AH126" i="2"/>
  <c r="AH113" i="2"/>
  <c r="AI132" i="2"/>
  <c r="AI137" i="2" s="1"/>
  <c r="AI131" i="2"/>
  <c r="AI130" i="2"/>
  <c r="AI135" i="2" s="1"/>
  <c r="AI129" i="2"/>
  <c r="AI126" i="2"/>
  <c r="AI118" i="2"/>
  <c r="AI116" i="2"/>
  <c r="AI115" i="2"/>
  <c r="AI114" i="2"/>
  <c r="AI113" i="2"/>
  <c r="AI112" i="2"/>
  <c r="AI111" i="2"/>
  <c r="AI108" i="2"/>
  <c r="AI107" i="2"/>
  <c r="AI101" i="2"/>
  <c r="AI100" i="2"/>
  <c r="AI99" i="2"/>
  <c r="AI98" i="2"/>
  <c r="AI97" i="2"/>
  <c r="AI96" i="2"/>
  <c r="AI95" i="2"/>
  <c r="AI94" i="2"/>
  <c r="AI93" i="2"/>
  <c r="AI92" i="2"/>
  <c r="AI91" i="2"/>
  <c r="AI90" i="2"/>
  <c r="AH71" i="2"/>
  <c r="AH78" i="2" s="1"/>
  <c r="AH55" i="2"/>
  <c r="AH54" i="2" s="1"/>
  <c r="AI71" i="2"/>
  <c r="AI78" i="2" s="1"/>
  <c r="AI80" i="2" s="1"/>
  <c r="AI55" i="2"/>
  <c r="AI59" i="2" s="1"/>
  <c r="AI65" i="2" s="1"/>
  <c r="AI105" i="2"/>
  <c r="AI136" i="2" l="1"/>
  <c r="AI117" i="2"/>
  <c r="AI134" i="2"/>
  <c r="AI102" i="2"/>
  <c r="AI103" i="2" s="1"/>
  <c r="AI54" i="2"/>
  <c r="AH59" i="2"/>
  <c r="AH65" i="2" s="1"/>
  <c r="AH79" i="2" s="1"/>
  <c r="AH80" i="2" s="1"/>
  <c r="R137" i="2"/>
  <c r="R136" i="2"/>
  <c r="R135" i="2"/>
  <c r="R134" i="2"/>
  <c r="Q134" i="2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R43" i="2"/>
  <c r="Q45" i="2"/>
  <c r="P45" i="2"/>
  <c r="O45" i="2"/>
  <c r="N45" i="2"/>
  <c r="M45" i="2"/>
  <c r="L45" i="2"/>
  <c r="K45" i="2"/>
  <c r="J45" i="2"/>
  <c r="I45" i="2"/>
  <c r="H45" i="2"/>
  <c r="G45" i="2"/>
  <c r="R45" i="2"/>
  <c r="L8" i="1"/>
  <c r="K55" i="2"/>
  <c r="L55" i="2"/>
  <c r="M55" i="2"/>
  <c r="N55" i="2"/>
  <c r="O55" i="2"/>
  <c r="P55" i="2"/>
  <c r="Q55" i="2"/>
  <c r="R55" i="2"/>
  <c r="L7" i="1" s="1"/>
  <c r="N7" i="4"/>
  <c r="N4" i="4"/>
  <c r="L3" i="4"/>
  <c r="M4" i="4" s="1"/>
  <c r="K3" i="4"/>
  <c r="J3" i="4"/>
  <c r="J4" i="4" s="1"/>
  <c r="I3" i="4"/>
  <c r="I4" i="4" s="1"/>
  <c r="H3" i="4"/>
  <c r="C3" i="4"/>
  <c r="D4" i="4" s="1"/>
  <c r="D2" i="4"/>
  <c r="E2" i="4" s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E10" i="1"/>
  <c r="F4" i="1"/>
  <c r="E12" i="1"/>
  <c r="E9" i="1"/>
  <c r="E11" i="1"/>
  <c r="E6" i="1"/>
  <c r="E5" i="1"/>
  <c r="E4" i="1"/>
  <c r="E3" i="1"/>
  <c r="D13" i="1"/>
  <c r="F12" i="1" s="1"/>
  <c r="C13" i="1"/>
  <c r="D7" i="1"/>
  <c r="F6" i="1" s="1"/>
  <c r="C7" i="1"/>
  <c r="E7" i="1" s="1"/>
  <c r="R117" i="2"/>
  <c r="R106" i="2"/>
  <c r="R109" i="2" s="1"/>
  <c r="E13" i="1" l="1"/>
  <c r="F3" i="1"/>
  <c r="F11" i="1"/>
  <c r="F10" i="1"/>
  <c r="F7" i="1"/>
  <c r="F5" i="1"/>
  <c r="F9" i="1"/>
  <c r="F13" i="1" s="1"/>
  <c r="K4" i="4"/>
  <c r="L4" i="4"/>
  <c r="R102" i="2"/>
  <c r="R103" i="2" s="1"/>
  <c r="R71" i="2"/>
  <c r="R78" i="2" s="1"/>
  <c r="R80" i="2" s="1"/>
  <c r="R54" i="2"/>
  <c r="R40" i="2"/>
  <c r="R6" i="2"/>
  <c r="R46" i="2" s="1"/>
  <c r="R47" i="2"/>
  <c r="R41" i="2"/>
  <c r="R50" i="2"/>
  <c r="Q50" i="2"/>
  <c r="AI15" i="2"/>
  <c r="AI14" i="2"/>
  <c r="AI13" i="2"/>
  <c r="AI12" i="2"/>
  <c r="AI11" i="2"/>
  <c r="AI10" i="2"/>
  <c r="AI9" i="2"/>
  <c r="AI7" i="2"/>
  <c r="AI5" i="2"/>
  <c r="AI4" i="2"/>
  <c r="AI3" i="2"/>
  <c r="AF29" i="2"/>
  <c r="AG29" i="2"/>
  <c r="AH29" i="2"/>
  <c r="AI29" i="2"/>
  <c r="AI26" i="2"/>
  <c r="AI24" i="2"/>
  <c r="R38" i="2"/>
  <c r="P50" i="2"/>
  <c r="O50" i="2"/>
  <c r="N50" i="2"/>
  <c r="M50" i="2"/>
  <c r="L50" i="2"/>
  <c r="K50" i="2"/>
  <c r="AJ24" i="2" l="1"/>
  <c r="R53" i="2"/>
  <c r="R59" i="2"/>
  <c r="R65" i="2" s="1"/>
  <c r="R119" i="2"/>
  <c r="R121" i="2"/>
  <c r="AI50" i="2"/>
  <c r="R8" i="2"/>
  <c r="AI16" i="2"/>
  <c r="AW37" i="2"/>
  <c r="R22" i="2"/>
  <c r="R18" i="2"/>
  <c r="R33" i="2" s="1"/>
  <c r="R49" i="2" l="1"/>
  <c r="AJ16" i="2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I47" i="2"/>
  <c r="R23" i="2"/>
  <c r="AI19" i="2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I20" i="2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I21" i="2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R25" i="2" l="1"/>
  <c r="R34" i="2"/>
  <c r="AI17" i="2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R27" i="2" l="1"/>
  <c r="R88" i="2" s="1"/>
  <c r="R36" i="2"/>
  <c r="R84" i="2" s="1"/>
  <c r="R85" i="2" s="1"/>
  <c r="AI22" i="2"/>
  <c r="R28" i="2" l="1"/>
  <c r="R35" i="2"/>
  <c r="AR18" i="2"/>
  <c r="AR33" i="2" s="1"/>
  <c r="AT22" i="2"/>
  <c r="AI38" i="2"/>
  <c r="AJ18" i="2"/>
  <c r="AJ33" i="2" s="1"/>
  <c r="AI18" i="2"/>
  <c r="AI33" i="2" s="1"/>
  <c r="AM22" i="2"/>
  <c r="AN22" i="2"/>
  <c r="AO22" i="2"/>
  <c r="AP22" i="2"/>
  <c r="AQ22" i="2"/>
  <c r="AS22" i="2"/>
  <c r="AR22" i="2"/>
  <c r="AJ22" i="2"/>
  <c r="AK22" i="2"/>
  <c r="AL22" i="2"/>
  <c r="AK18" i="2"/>
  <c r="AK33" i="2" s="1"/>
  <c r="AL38" i="2" l="1"/>
  <c r="AK38" i="2"/>
  <c r="AO38" i="2"/>
  <c r="AP38" i="2"/>
  <c r="AR38" i="2"/>
  <c r="AP18" i="2"/>
  <c r="AP33" i="2" s="1"/>
  <c r="AQ18" i="2"/>
  <c r="AQ33" i="2" s="1"/>
  <c r="AQ38" i="2"/>
  <c r="AN18" i="2"/>
  <c r="AN33" i="2" s="1"/>
  <c r="AN38" i="2"/>
  <c r="AO18" i="2"/>
  <c r="AO33" i="2" s="1"/>
  <c r="AM38" i="2"/>
  <c r="AM18" i="2"/>
  <c r="AM33" i="2" s="1"/>
  <c r="AJ38" i="2"/>
  <c r="AL18" i="2"/>
  <c r="AL33" i="2" s="1"/>
  <c r="AI23" i="2"/>
  <c r="AJ23" i="2"/>
  <c r="AJ34" i="2" s="1"/>
  <c r="AK23" i="2"/>
  <c r="AK34" i="2" s="1"/>
  <c r="AR23" i="2"/>
  <c r="AR34" i="2" s="1"/>
  <c r="AI34" i="2" l="1"/>
  <c r="AP23" i="2"/>
  <c r="AP34" i="2" s="1"/>
  <c r="AQ23" i="2"/>
  <c r="AQ34" i="2" s="1"/>
  <c r="AN23" i="2"/>
  <c r="AN34" i="2" s="1"/>
  <c r="AL23" i="2"/>
  <c r="AL34" i="2" s="1"/>
  <c r="AM23" i="2"/>
  <c r="AM34" i="2" s="1"/>
  <c r="AO23" i="2"/>
  <c r="AO34" i="2" s="1"/>
  <c r="AS38" i="2"/>
  <c r="AS18" i="2"/>
  <c r="AI2" i="2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F15" i="2"/>
  <c r="AF14" i="2"/>
  <c r="AF13" i="2"/>
  <c r="AF12" i="2"/>
  <c r="AF11" i="2"/>
  <c r="AF10" i="2"/>
  <c r="AF47" i="2" s="1"/>
  <c r="AF9" i="2"/>
  <c r="AF7" i="2"/>
  <c r="AF5" i="2"/>
  <c r="AF4" i="2"/>
  <c r="AF3" i="2"/>
  <c r="AG15" i="2"/>
  <c r="AG14" i="2"/>
  <c r="AG13" i="2"/>
  <c r="AG12" i="2"/>
  <c r="AG11" i="2"/>
  <c r="AG10" i="2"/>
  <c r="AG47" i="2" s="1"/>
  <c r="AG9" i="2"/>
  <c r="AG7" i="2"/>
  <c r="AG5" i="2"/>
  <c r="AG4" i="2"/>
  <c r="AG3" i="2"/>
  <c r="AH15" i="2"/>
  <c r="AH14" i="2"/>
  <c r="AH13" i="2"/>
  <c r="AH12" i="2"/>
  <c r="AH11" i="2"/>
  <c r="AH10" i="2"/>
  <c r="AH47" i="2" s="1"/>
  <c r="AH9" i="2"/>
  <c r="AH7" i="2"/>
  <c r="AH5" i="2"/>
  <c r="AH4" i="2"/>
  <c r="AI41" i="2" s="1"/>
  <c r="AH3" i="2"/>
  <c r="L47" i="2"/>
  <c r="K47" i="2"/>
  <c r="J47" i="2"/>
  <c r="I47" i="2"/>
  <c r="H47" i="2"/>
  <c r="G47" i="2"/>
  <c r="L43" i="2"/>
  <c r="K43" i="2"/>
  <c r="J43" i="2"/>
  <c r="I43" i="2"/>
  <c r="H43" i="2"/>
  <c r="G43" i="2"/>
  <c r="L41" i="2"/>
  <c r="K41" i="2"/>
  <c r="J41" i="2"/>
  <c r="I41" i="2"/>
  <c r="H41" i="2"/>
  <c r="G41" i="2"/>
  <c r="L40" i="2"/>
  <c r="K40" i="2"/>
  <c r="J40" i="2"/>
  <c r="I40" i="2"/>
  <c r="H40" i="2"/>
  <c r="G40" i="2"/>
  <c r="M40" i="2"/>
  <c r="E22" i="2"/>
  <c r="E18" i="2"/>
  <c r="E33" i="2" s="1"/>
  <c r="E6" i="2"/>
  <c r="E8" i="2" s="1"/>
  <c r="F22" i="2"/>
  <c r="F18" i="2"/>
  <c r="F33" i="2" s="1"/>
  <c r="F6" i="2"/>
  <c r="F8" i="2" s="1"/>
  <c r="J38" i="2"/>
  <c r="I38" i="2"/>
  <c r="H38" i="2"/>
  <c r="G38" i="2"/>
  <c r="C22" i="2"/>
  <c r="C18" i="2"/>
  <c r="C33" i="2" s="1"/>
  <c r="C6" i="2"/>
  <c r="C8" i="2" s="1"/>
  <c r="G6" i="2"/>
  <c r="G8" i="2" s="1"/>
  <c r="D22" i="2"/>
  <c r="D18" i="2"/>
  <c r="D33" i="2" s="1"/>
  <c r="D6" i="2"/>
  <c r="D8" i="2" s="1"/>
  <c r="H6" i="2"/>
  <c r="H8" i="2" s="1"/>
  <c r="X22" i="2"/>
  <c r="X18" i="2"/>
  <c r="X33" i="2" s="1"/>
  <c r="Y38" i="2"/>
  <c r="Y22" i="2"/>
  <c r="Y18" i="2"/>
  <c r="Z38" i="2"/>
  <c r="Z22" i="2"/>
  <c r="Z18" i="2"/>
  <c r="Z33" i="2" s="1"/>
  <c r="AA38" i="2"/>
  <c r="AA22" i="2"/>
  <c r="AA18" i="2"/>
  <c r="AA33" i="2" s="1"/>
  <c r="AB38" i="2"/>
  <c r="AB22" i="2"/>
  <c r="AB18" i="2"/>
  <c r="AC38" i="2"/>
  <c r="AC22" i="2"/>
  <c r="AC18" i="2"/>
  <c r="AC33" i="2" s="1"/>
  <c r="AD38" i="2"/>
  <c r="AD22" i="2"/>
  <c r="AD18" i="2"/>
  <c r="AD33" i="2" s="1"/>
  <c r="AE18" i="2"/>
  <c r="AE38" i="2"/>
  <c r="AE22" i="2"/>
  <c r="AF38" i="2"/>
  <c r="AE2" i="2"/>
  <c r="AD2" i="2" s="1"/>
  <c r="AC2" i="2" s="1"/>
  <c r="AB2" i="2" s="1"/>
  <c r="AA2" i="2" s="1"/>
  <c r="Z2" i="2" s="1"/>
  <c r="Y2" i="2" s="1"/>
  <c r="X2" i="2" s="1"/>
  <c r="Q137" i="2"/>
  <c r="Q136" i="2"/>
  <c r="Q135" i="2"/>
  <c r="Q117" i="2"/>
  <c r="Q106" i="2"/>
  <c r="Q109" i="2" s="1"/>
  <c r="Q102" i="2"/>
  <c r="Q103" i="2" s="1"/>
  <c r="Q121" i="2" s="1"/>
  <c r="Q71" i="2"/>
  <c r="Q78" i="2" s="1"/>
  <c r="Q40" i="2"/>
  <c r="Q47" i="2"/>
  <c r="Q43" i="2"/>
  <c r="Q41" i="2"/>
  <c r="Q6" i="2"/>
  <c r="Q8" i="2" s="1"/>
  <c r="Q49" i="2" s="1"/>
  <c r="Q38" i="2"/>
  <c r="Q22" i="2"/>
  <c r="Q18" i="2"/>
  <c r="Q33" i="2" s="1"/>
  <c r="O135" i="2"/>
  <c r="O137" i="2"/>
  <c r="N137" i="2"/>
  <c r="M137" i="2"/>
  <c r="O136" i="2"/>
  <c r="N136" i="2"/>
  <c r="M136" i="2"/>
  <c r="N135" i="2"/>
  <c r="M135" i="2"/>
  <c r="O134" i="2"/>
  <c r="N134" i="2"/>
  <c r="M134" i="2"/>
  <c r="P137" i="2"/>
  <c r="P136" i="2"/>
  <c r="P135" i="2"/>
  <c r="P134" i="2"/>
  <c r="M47" i="2"/>
  <c r="M43" i="2"/>
  <c r="M41" i="2"/>
  <c r="I6" i="2"/>
  <c r="I8" i="2" s="1"/>
  <c r="M6" i="2"/>
  <c r="M46" i="2" s="1"/>
  <c r="N47" i="2"/>
  <c r="N43" i="2"/>
  <c r="N41" i="2"/>
  <c r="N40" i="2"/>
  <c r="J6" i="2"/>
  <c r="J8" i="2" s="1"/>
  <c r="N6" i="2"/>
  <c r="N46" i="2" s="1"/>
  <c r="O47" i="2"/>
  <c r="O43" i="2"/>
  <c r="O41" i="2"/>
  <c r="O40" i="2"/>
  <c r="P47" i="2"/>
  <c r="P43" i="2"/>
  <c r="P41" i="2"/>
  <c r="P40" i="2"/>
  <c r="P6" i="2"/>
  <c r="P46" i="2" s="1"/>
  <c r="P117" i="2"/>
  <c r="P106" i="2"/>
  <c r="P109" i="2" s="1"/>
  <c r="P102" i="2"/>
  <c r="P103" i="2" s="1"/>
  <c r="P121" i="2" s="1"/>
  <c r="L6" i="2"/>
  <c r="L8" i="2" s="1"/>
  <c r="P63" i="2"/>
  <c r="P54" i="2"/>
  <c r="P53" i="2" s="1"/>
  <c r="P71" i="2"/>
  <c r="P78" i="2" s="1"/>
  <c r="P18" i="2"/>
  <c r="P38" i="2"/>
  <c r="P22" i="2"/>
  <c r="L6" i="1"/>
  <c r="K6" i="2"/>
  <c r="K8" i="2" s="1"/>
  <c r="K49" i="2" s="1"/>
  <c r="O6" i="2"/>
  <c r="N106" i="2"/>
  <c r="N117" i="2"/>
  <c r="N102" i="2"/>
  <c r="N103" i="2" s="1"/>
  <c r="N54" i="2"/>
  <c r="N53" i="2" s="1"/>
  <c r="N71" i="2"/>
  <c r="N78" i="2" s="1"/>
  <c r="G18" i="2"/>
  <c r="G33" i="2" s="1"/>
  <c r="G22" i="2"/>
  <c r="J22" i="2"/>
  <c r="J18" i="2"/>
  <c r="J33" i="2" s="1"/>
  <c r="N38" i="2"/>
  <c r="N22" i="2"/>
  <c r="N18" i="2"/>
  <c r="L118" i="2"/>
  <c r="L116" i="2"/>
  <c r="L115" i="2"/>
  <c r="L114" i="2"/>
  <c r="L112" i="2"/>
  <c r="L111" i="2"/>
  <c r="L108" i="2"/>
  <c r="L107" i="2"/>
  <c r="L105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M89" i="2" s="1"/>
  <c r="L63" i="2"/>
  <c r="L54" i="2"/>
  <c r="L53" i="2" s="1"/>
  <c r="L71" i="2"/>
  <c r="L78" i="2" s="1"/>
  <c r="H22" i="2"/>
  <c r="H18" i="2"/>
  <c r="L38" i="2"/>
  <c r="L22" i="2"/>
  <c r="L18" i="2"/>
  <c r="L33" i="2" s="1"/>
  <c r="M63" i="2"/>
  <c r="M59" i="2"/>
  <c r="M71" i="2"/>
  <c r="M78" i="2" s="1"/>
  <c r="I22" i="2"/>
  <c r="I18" i="2"/>
  <c r="M38" i="2"/>
  <c r="M22" i="2"/>
  <c r="M18" i="2"/>
  <c r="M33" i="2" s="1"/>
  <c r="AF18" i="2"/>
  <c r="AF33" i="2" s="1"/>
  <c r="AF22" i="2"/>
  <c r="AG38" i="2"/>
  <c r="AH38" i="2"/>
  <c r="AG22" i="2"/>
  <c r="AG18" i="2"/>
  <c r="AG33" i="2" s="1"/>
  <c r="AJ29" i="2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H22" i="2"/>
  <c r="AH18" i="2"/>
  <c r="K106" i="2"/>
  <c r="K117" i="2"/>
  <c r="K102" i="2"/>
  <c r="K103" i="2" s="1"/>
  <c r="O117" i="2"/>
  <c r="O106" i="2"/>
  <c r="O102" i="2"/>
  <c r="O103" i="2" s="1"/>
  <c r="O121" i="2" s="1"/>
  <c r="K54" i="2"/>
  <c r="K53" i="2" s="1"/>
  <c r="K71" i="2"/>
  <c r="K78" i="2" s="1"/>
  <c r="K59" i="2"/>
  <c r="K65" i="2" s="1"/>
  <c r="O71" i="2"/>
  <c r="O78" i="2" s="1"/>
  <c r="O54" i="2"/>
  <c r="O53" i="2" s="1"/>
  <c r="K38" i="2"/>
  <c r="O38" i="2"/>
  <c r="K22" i="2"/>
  <c r="K18" i="2"/>
  <c r="K33" i="2" s="1"/>
  <c r="O22" i="2"/>
  <c r="O18" i="2"/>
  <c r="O33" i="2" s="1"/>
  <c r="O109" i="2" l="1"/>
  <c r="O119" i="2" s="1"/>
  <c r="AI106" i="2"/>
  <c r="AI109" i="2" s="1"/>
  <c r="AI119" i="2" s="1"/>
  <c r="M114" i="2"/>
  <c r="AH114" i="2" s="1"/>
  <c r="M118" i="2"/>
  <c r="AH118" i="2" s="1"/>
  <c r="K109" i="2"/>
  <c r="M99" i="2"/>
  <c r="AH99" i="2" s="1"/>
  <c r="M116" i="2"/>
  <c r="AH116" i="2" s="1"/>
  <c r="M98" i="2"/>
  <c r="AH98" i="2" s="1"/>
  <c r="M100" i="2"/>
  <c r="AH100" i="2" s="1"/>
  <c r="M96" i="2"/>
  <c r="AH96" i="2" s="1"/>
  <c r="M101" i="2"/>
  <c r="AH101" i="2" s="1"/>
  <c r="M105" i="2"/>
  <c r="AH105" i="2" s="1"/>
  <c r="M107" i="2"/>
  <c r="AH107" i="2" s="1"/>
  <c r="M115" i="2"/>
  <c r="AH115" i="2"/>
  <c r="M91" i="2"/>
  <c r="AH91" i="2" s="1"/>
  <c r="M92" i="2"/>
  <c r="AH92" i="2" s="1"/>
  <c r="M108" i="2"/>
  <c r="AH108" i="2"/>
  <c r="M93" i="2"/>
  <c r="AH93" i="2"/>
  <c r="M111" i="2"/>
  <c r="AH111" i="2" s="1"/>
  <c r="M97" i="2"/>
  <c r="AH97" i="2" s="1"/>
  <c r="M90" i="2"/>
  <c r="AH90" i="2"/>
  <c r="AI121" i="2"/>
  <c r="M94" i="2"/>
  <c r="AH94" i="2" s="1"/>
  <c r="M112" i="2"/>
  <c r="AH112" i="2" s="1"/>
  <c r="R122" i="2"/>
  <c r="AH50" i="2"/>
  <c r="L42" i="2"/>
  <c r="L49" i="2"/>
  <c r="AF50" i="2"/>
  <c r="AG50" i="2"/>
  <c r="Q54" i="2"/>
  <c r="Q53" i="2" s="1"/>
  <c r="O8" i="2"/>
  <c r="O49" i="2" s="1"/>
  <c r="AI6" i="2"/>
  <c r="M15" i="4" s="1"/>
  <c r="M24" i="4" s="1"/>
  <c r="AG40" i="2"/>
  <c r="L9" i="1"/>
  <c r="R124" i="2" s="1"/>
  <c r="AH40" i="2"/>
  <c r="AI40" i="2"/>
  <c r="AG41" i="2"/>
  <c r="AH42" i="2"/>
  <c r="AI42" i="2"/>
  <c r="AH41" i="2"/>
  <c r="AG42" i="2"/>
  <c r="AT18" i="2"/>
  <c r="AT38" i="2"/>
  <c r="AS33" i="2"/>
  <c r="AS23" i="2"/>
  <c r="AS34" i="2" s="1"/>
  <c r="AG6" i="2"/>
  <c r="K15" i="4" s="1"/>
  <c r="K24" i="4" s="1"/>
  <c r="K42" i="2"/>
  <c r="AF6" i="2"/>
  <c r="J15" i="4" s="1"/>
  <c r="J24" i="4" s="1"/>
  <c r="H42" i="2"/>
  <c r="AH6" i="2"/>
  <c r="L15" i="4" s="1"/>
  <c r="L24" i="4" s="1"/>
  <c r="I42" i="2"/>
  <c r="G42" i="2"/>
  <c r="L46" i="2"/>
  <c r="J42" i="2"/>
  <c r="G46" i="2"/>
  <c r="Q46" i="2"/>
  <c r="H46" i="2"/>
  <c r="P8" i="2"/>
  <c r="I46" i="2"/>
  <c r="J46" i="2"/>
  <c r="K46" i="2"/>
  <c r="E23" i="2"/>
  <c r="F23" i="2"/>
  <c r="C23" i="2"/>
  <c r="D23" i="2"/>
  <c r="X23" i="2"/>
  <c r="Q59" i="2"/>
  <c r="Q65" i="2" s="1"/>
  <c r="Q79" i="2" s="1"/>
  <c r="Q80" i="2" s="1"/>
  <c r="Y23" i="2"/>
  <c r="Y34" i="2" s="1"/>
  <c r="Y33" i="2"/>
  <c r="Z23" i="2"/>
  <c r="AA23" i="2"/>
  <c r="AA34" i="2" s="1"/>
  <c r="AB23" i="2"/>
  <c r="AB34" i="2" s="1"/>
  <c r="AB33" i="2"/>
  <c r="AC23" i="2"/>
  <c r="AD23" i="2"/>
  <c r="AD34" i="2" s="1"/>
  <c r="AE23" i="2"/>
  <c r="AE34" i="2" s="1"/>
  <c r="AE33" i="2"/>
  <c r="P59" i="2"/>
  <c r="P65" i="2" s="1"/>
  <c r="P79" i="2" s="1"/>
  <c r="P80" i="2" s="1"/>
  <c r="N8" i="2"/>
  <c r="M8" i="2"/>
  <c r="Q119" i="2"/>
  <c r="O46" i="2"/>
  <c r="Q23" i="2"/>
  <c r="P119" i="2"/>
  <c r="P23" i="2"/>
  <c r="P33" i="2"/>
  <c r="M65" i="2"/>
  <c r="M79" i="2" s="1"/>
  <c r="M80" i="2" s="1"/>
  <c r="L102" i="2"/>
  <c r="L103" i="2" s="1"/>
  <c r="L121" i="2" s="1"/>
  <c r="M95" i="2"/>
  <c r="L106" i="2"/>
  <c r="M106" i="2" s="1"/>
  <c r="O59" i="2"/>
  <c r="O65" i="2" s="1"/>
  <c r="O79" i="2" s="1"/>
  <c r="O80" i="2" s="1"/>
  <c r="L117" i="2"/>
  <c r="N109" i="2"/>
  <c r="N119" i="2" s="1"/>
  <c r="N121" i="2"/>
  <c r="N59" i="2"/>
  <c r="N65" i="2" s="1"/>
  <c r="N79" i="2" s="1"/>
  <c r="N80" i="2" s="1"/>
  <c r="G23" i="2"/>
  <c r="J23" i="2"/>
  <c r="N23" i="2"/>
  <c r="N33" i="2"/>
  <c r="L59" i="2"/>
  <c r="L65" i="2" s="1"/>
  <c r="L79" i="2" s="1"/>
  <c r="L80" i="2" s="1"/>
  <c r="H23" i="2"/>
  <c r="H34" i="2" s="1"/>
  <c r="H33" i="2"/>
  <c r="L23" i="2"/>
  <c r="M54" i="2"/>
  <c r="M53" i="2" s="1"/>
  <c r="I23" i="2"/>
  <c r="I34" i="2" s="1"/>
  <c r="I33" i="2"/>
  <c r="M23" i="2"/>
  <c r="AF23" i="2"/>
  <c r="AG23" i="2"/>
  <c r="AH23" i="2"/>
  <c r="AH25" i="2" s="1"/>
  <c r="AH33" i="2"/>
  <c r="K119" i="2"/>
  <c r="K121" i="2"/>
  <c r="O23" i="2"/>
  <c r="K23" i="2"/>
  <c r="K79" i="2"/>
  <c r="K80" i="2" s="1"/>
  <c r="M109" i="2" l="1"/>
  <c r="AH117" i="2"/>
  <c r="AH106" i="2"/>
  <c r="AH109" i="2" s="1"/>
  <c r="Q122" i="2"/>
  <c r="AH121" i="2"/>
  <c r="M102" i="2"/>
  <c r="M103" i="2" s="1"/>
  <c r="M117" i="2"/>
  <c r="AH95" i="2"/>
  <c r="AH102" i="2" s="1"/>
  <c r="AH103" i="2" s="1"/>
  <c r="O42" i="2"/>
  <c r="P42" i="2"/>
  <c r="P49" i="2"/>
  <c r="N42" i="2"/>
  <c r="N49" i="2"/>
  <c r="R42" i="2"/>
  <c r="Q42" i="2"/>
  <c r="M49" i="2"/>
  <c r="AI8" i="2"/>
  <c r="AI49" i="2" s="1"/>
  <c r="AI46" i="2"/>
  <c r="AI43" i="2"/>
  <c r="AH8" i="2"/>
  <c r="AH49" i="2" s="1"/>
  <c r="AH43" i="2"/>
  <c r="AH46" i="2"/>
  <c r="AF8" i="2"/>
  <c r="AF49" i="2" s="1"/>
  <c r="AF46" i="2"/>
  <c r="AG43" i="2"/>
  <c r="AG46" i="2"/>
  <c r="N34" i="2"/>
  <c r="AG8" i="2"/>
  <c r="AG49" i="2" s="1"/>
  <c r="AT33" i="2"/>
  <c r="AT23" i="2"/>
  <c r="AT34" i="2" s="1"/>
  <c r="P34" i="2"/>
  <c r="E25" i="2"/>
  <c r="E34" i="2"/>
  <c r="F34" i="2"/>
  <c r="F25" i="2"/>
  <c r="C34" i="2"/>
  <c r="C25" i="2"/>
  <c r="D34" i="2"/>
  <c r="D25" i="2"/>
  <c r="AE25" i="2"/>
  <c r="AE27" i="2" s="1"/>
  <c r="X34" i="2"/>
  <c r="X25" i="2"/>
  <c r="Y25" i="2"/>
  <c r="Y36" i="2" s="1"/>
  <c r="Z25" i="2"/>
  <c r="Z34" i="2"/>
  <c r="AA25" i="2"/>
  <c r="AA36" i="2" s="1"/>
  <c r="AB25" i="2"/>
  <c r="AB36" i="2" s="1"/>
  <c r="AC34" i="2"/>
  <c r="AC25" i="2"/>
  <c r="AD25" i="2"/>
  <c r="AD36" i="2" s="1"/>
  <c r="M42" i="2"/>
  <c r="Q34" i="2"/>
  <c r="Q25" i="2"/>
  <c r="P25" i="2"/>
  <c r="P27" i="2" s="1"/>
  <c r="P88" i="2" s="1"/>
  <c r="I25" i="2"/>
  <c r="I36" i="2" s="1"/>
  <c r="L109" i="2"/>
  <c r="L119" i="2" s="1"/>
  <c r="M121" i="2"/>
  <c r="M119" i="2"/>
  <c r="G34" i="2"/>
  <c r="G25" i="2"/>
  <c r="J34" i="2"/>
  <c r="J25" i="2"/>
  <c r="N25" i="2"/>
  <c r="N27" i="2" s="1"/>
  <c r="H25" i="2"/>
  <c r="H36" i="2" s="1"/>
  <c r="L25" i="2"/>
  <c r="L34" i="2"/>
  <c r="M34" i="2"/>
  <c r="M25" i="2"/>
  <c r="AF34" i="2"/>
  <c r="AF25" i="2"/>
  <c r="AG25" i="2"/>
  <c r="AG34" i="2"/>
  <c r="AH34" i="2"/>
  <c r="AH36" i="2"/>
  <c r="AH27" i="2"/>
  <c r="K25" i="2"/>
  <c r="K34" i="2"/>
  <c r="O25" i="2"/>
  <c r="O34" i="2"/>
  <c r="AH119" i="2" l="1"/>
  <c r="AH88" i="2"/>
  <c r="AH82" i="2"/>
  <c r="AH83" i="2" s="1"/>
  <c r="E36" i="2"/>
  <c r="E27" i="2"/>
  <c r="F36" i="2"/>
  <c r="F27" i="2"/>
  <c r="C36" i="2"/>
  <c r="C27" i="2"/>
  <c r="D36" i="2"/>
  <c r="D27" i="2"/>
  <c r="AE36" i="2"/>
  <c r="X36" i="2"/>
  <c r="X27" i="2"/>
  <c r="Y27" i="2"/>
  <c r="Z36" i="2"/>
  <c r="Z27" i="2"/>
  <c r="AA27" i="2"/>
  <c r="AA35" i="2" s="1"/>
  <c r="AB27" i="2"/>
  <c r="AB35" i="2" s="1"/>
  <c r="AC36" i="2"/>
  <c r="AC27" i="2"/>
  <c r="AC28" i="2" s="1"/>
  <c r="AD27" i="2"/>
  <c r="AE35" i="2"/>
  <c r="AE28" i="2"/>
  <c r="N88" i="2"/>
  <c r="Q36" i="2"/>
  <c r="Q27" i="2"/>
  <c r="Q88" i="2" s="1"/>
  <c r="N122" i="2"/>
  <c r="P122" i="2"/>
  <c r="P36" i="2"/>
  <c r="P84" i="2" s="1"/>
  <c r="P85" i="2" s="1"/>
  <c r="P35" i="2"/>
  <c r="P28" i="2"/>
  <c r="I27" i="2"/>
  <c r="O122" i="2"/>
  <c r="G36" i="2"/>
  <c r="G27" i="2"/>
  <c r="J36" i="2"/>
  <c r="J27" i="2"/>
  <c r="N36" i="2"/>
  <c r="N84" i="2" s="1"/>
  <c r="N85" i="2" s="1"/>
  <c r="N35" i="2"/>
  <c r="N28" i="2"/>
  <c r="H27" i="2"/>
  <c r="L36" i="2"/>
  <c r="L84" i="2" s="1"/>
  <c r="L85" i="2" s="1"/>
  <c r="L27" i="2"/>
  <c r="M27" i="2"/>
  <c r="M36" i="2"/>
  <c r="M84" i="2" s="1"/>
  <c r="M85" i="2" s="1"/>
  <c r="AF27" i="2"/>
  <c r="AF36" i="2"/>
  <c r="AG27" i="2"/>
  <c r="AG36" i="2"/>
  <c r="AH35" i="2"/>
  <c r="AH28" i="2"/>
  <c r="O27" i="2"/>
  <c r="L10" i="1" s="1"/>
  <c r="L11" i="1" s="1"/>
  <c r="O36" i="2"/>
  <c r="O84" i="2" s="1"/>
  <c r="O85" i="2" s="1"/>
  <c r="K27" i="2"/>
  <c r="K36" i="2"/>
  <c r="K84" i="2" s="1"/>
  <c r="K85" i="2" s="1"/>
  <c r="Q84" i="2" l="1"/>
  <c r="Q85" i="2" s="1"/>
  <c r="O88" i="2"/>
  <c r="R82" i="2"/>
  <c r="R83" i="2" s="1"/>
  <c r="AD35" i="2"/>
  <c r="AD28" i="2"/>
  <c r="E35" i="2"/>
  <c r="E28" i="2"/>
  <c r="F35" i="2"/>
  <c r="F28" i="2"/>
  <c r="C35" i="2"/>
  <c r="C28" i="2"/>
  <c r="D35" i="2"/>
  <c r="D28" i="2"/>
  <c r="X35" i="2"/>
  <c r="Y35" i="2"/>
  <c r="Z35" i="2"/>
  <c r="AC35" i="2"/>
  <c r="Q82" i="2"/>
  <c r="Q83" i="2" s="1"/>
  <c r="Q35" i="2"/>
  <c r="Q28" i="2"/>
  <c r="M88" i="2"/>
  <c r="P82" i="2"/>
  <c r="P83" i="2" s="1"/>
  <c r="H28" i="2"/>
  <c r="K82" i="2"/>
  <c r="K83" i="2" s="1"/>
  <c r="M82" i="2"/>
  <c r="M83" i="2" s="1"/>
  <c r="K88" i="2"/>
  <c r="L88" i="2" s="1"/>
  <c r="N82" i="2"/>
  <c r="N83" i="2" s="1"/>
  <c r="I35" i="2"/>
  <c r="L82" i="2"/>
  <c r="L83" i="2" s="1"/>
  <c r="O82" i="2"/>
  <c r="O83" i="2" s="1"/>
  <c r="I28" i="2"/>
  <c r="G35" i="2"/>
  <c r="G28" i="2"/>
  <c r="J35" i="2"/>
  <c r="J28" i="2"/>
  <c r="H35" i="2"/>
  <c r="L35" i="2"/>
  <c r="L28" i="2"/>
  <c r="M35" i="2"/>
  <c r="M28" i="2"/>
  <c r="AF28" i="2"/>
  <c r="AF35" i="2"/>
  <c r="AG28" i="2"/>
  <c r="AG35" i="2"/>
  <c r="K35" i="2"/>
  <c r="K28" i="2"/>
  <c r="O35" i="2"/>
  <c r="O28" i="2"/>
  <c r="R31" i="2" s="1"/>
  <c r="AI25" i="2"/>
  <c r="AI36" i="2" s="1"/>
  <c r="AI27" i="2" l="1"/>
  <c r="AI88" i="2" l="1"/>
  <c r="AI82" i="2"/>
  <c r="AI83" i="2" s="1"/>
  <c r="AI28" i="2"/>
  <c r="AI35" i="2"/>
  <c r="AJ25" i="2"/>
  <c r="AJ26" i="2" l="1"/>
  <c r="AJ36" i="2" s="1"/>
  <c r="AJ27" i="2" l="1"/>
  <c r="AJ54" i="2" l="1"/>
  <c r="AK24" i="2" s="1"/>
  <c r="AK25" i="2" s="1"/>
  <c r="AJ28" i="2"/>
  <c r="AJ35" i="2"/>
  <c r="AK26" i="2" l="1"/>
  <c r="AK36" i="2" s="1"/>
  <c r="AK27" i="2" l="1"/>
  <c r="AK54" i="2" l="1"/>
  <c r="AL24" i="2" s="1"/>
  <c r="AK28" i="2"/>
  <c r="AK35" i="2"/>
  <c r="AL25" i="2" l="1"/>
  <c r="AL26" i="2" l="1"/>
  <c r="AL36" i="2" s="1"/>
  <c r="AL27" i="2" l="1"/>
  <c r="AL28" i="2" s="1"/>
  <c r="AL35" i="2" l="1"/>
  <c r="AL54" i="2"/>
  <c r="AM24" i="2"/>
  <c r="AM25" i="2" s="1"/>
  <c r="AM26" i="2" l="1"/>
  <c r="AM36" i="2" s="1"/>
  <c r="AM27" i="2" l="1"/>
  <c r="AM28" i="2" s="1"/>
  <c r="AM54" i="2" l="1"/>
  <c r="AN24" i="2" s="1"/>
  <c r="AN25" i="2" s="1"/>
  <c r="AM35" i="2"/>
  <c r="AN26" i="2" l="1"/>
  <c r="AN36" i="2" s="1"/>
  <c r="AN27" i="2" l="1"/>
  <c r="AN35" i="2" s="1"/>
  <c r="AN54" i="2" l="1"/>
  <c r="AO24" i="2" s="1"/>
  <c r="AO25" i="2" s="1"/>
  <c r="AN28" i="2"/>
  <c r="AO26" i="2" l="1"/>
  <c r="AO36" i="2" s="1"/>
  <c r="AO27" i="2" l="1"/>
  <c r="AO35" i="2"/>
  <c r="AO28" i="2"/>
  <c r="AO54" i="2"/>
  <c r="AP24" i="2" l="1"/>
  <c r="AP25" i="2" s="1"/>
  <c r="AP26" i="2" l="1"/>
  <c r="AP36" i="2" s="1"/>
  <c r="AP27" i="2" l="1"/>
  <c r="AP28" i="2" s="1"/>
  <c r="AP35" i="2" l="1"/>
  <c r="AP54" i="2"/>
  <c r="AQ24" i="2" s="1"/>
  <c r="AQ25" i="2" s="1"/>
  <c r="AQ26" i="2" l="1"/>
  <c r="AQ36" i="2" s="1"/>
  <c r="AQ27" i="2"/>
  <c r="AQ28" i="2" l="1"/>
  <c r="AQ35" i="2"/>
  <c r="AQ54" i="2"/>
  <c r="AR24" i="2" l="1"/>
  <c r="AR25" i="2" s="1"/>
  <c r="AR26" i="2" l="1"/>
  <c r="AR36" i="2" s="1"/>
  <c r="AR27" i="2" l="1"/>
  <c r="AR28" i="2" s="1"/>
  <c r="AR35" i="2" l="1"/>
  <c r="AR54" i="2"/>
  <c r="AS24" i="2" s="1"/>
  <c r="AS25" i="2" s="1"/>
  <c r="AS26" i="2" l="1"/>
  <c r="AS36" i="2" s="1"/>
  <c r="AS27" i="2" l="1"/>
  <c r="AS35" i="2" s="1"/>
  <c r="AS54" i="2" l="1"/>
  <c r="AT24" i="2" s="1"/>
  <c r="AT25" i="2" s="1"/>
  <c r="AS28" i="2"/>
  <c r="AT26" i="2" l="1"/>
  <c r="AT36" i="2" s="1"/>
  <c r="AT27" i="2" l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EF27" i="2" s="1"/>
  <c r="EG27" i="2" s="1"/>
  <c r="EH27" i="2" s="1"/>
  <c r="EI27" i="2" s="1"/>
  <c r="EJ27" i="2" s="1"/>
  <c r="EK27" i="2" s="1"/>
  <c r="EL27" i="2" s="1"/>
  <c r="EM27" i="2" s="1"/>
  <c r="EN27" i="2" s="1"/>
  <c r="EO27" i="2" s="1"/>
  <c r="EP27" i="2" s="1"/>
  <c r="EQ27" i="2" s="1"/>
  <c r="AW35" i="2" s="1"/>
  <c r="AW36" i="2" s="1"/>
  <c r="AW38" i="2" s="1"/>
  <c r="AT54" i="2" l="1"/>
  <c r="AT28" i="2"/>
  <c r="AT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Fidel</author>
  </authors>
  <commentList>
    <comment ref="S105" authorId="0" shapeId="0" xr:uid="{A5456EF5-4191-4192-A6FF-B25514AD8B68}">
      <text>
        <r>
          <rPr>
            <b/>
            <sz val="9"/>
            <color indexed="81"/>
            <rFont val="Tahoma"/>
            <charset val="1"/>
          </rPr>
          <t>Fidel:</t>
        </r>
        <r>
          <rPr>
            <sz val="9"/>
            <color indexed="81"/>
            <rFont val="Tahoma"/>
            <charset val="1"/>
          </rPr>
          <t xml:space="preserve">
$16 billion - $18 billion</t>
        </r>
      </text>
    </comment>
  </commentList>
</comments>
</file>

<file path=xl/sharedStrings.xml><?xml version="1.0" encoding="utf-8"?>
<sst xmlns="http://schemas.openxmlformats.org/spreadsheetml/2006/main" count="234" uniqueCount="174">
  <si>
    <t>Price</t>
  </si>
  <si>
    <t>Shares</t>
  </si>
  <si>
    <t>MC</t>
  </si>
  <si>
    <t>Cash</t>
  </si>
  <si>
    <t>Debt</t>
  </si>
  <si>
    <t>EV</t>
  </si>
  <si>
    <t>Q124</t>
  </si>
  <si>
    <t>Revenue</t>
  </si>
  <si>
    <t>COGS</t>
  </si>
  <si>
    <t>Gross profit</t>
  </si>
  <si>
    <t>R&amp;D</t>
  </si>
  <si>
    <t>S&amp;M</t>
  </si>
  <si>
    <t>G&amp;A</t>
  </si>
  <si>
    <t>Operating expense</t>
  </si>
  <si>
    <t>Operating income</t>
  </si>
  <si>
    <t>Other</t>
  </si>
  <si>
    <t>Pretax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</si>
  <si>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</si>
  <si>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</si>
  <si>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</si>
  <si>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</si>
  <si>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</si>
  <si>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</si>
  <si>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</si>
  <si>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</si>
  <si>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Q123</t>
  </si>
  <si>
    <t>Net cash</t>
  </si>
  <si>
    <t>A/R</t>
  </si>
  <si>
    <t>Current assets</t>
  </si>
  <si>
    <t>Securities</t>
  </si>
  <si>
    <t>D/T</t>
  </si>
  <si>
    <t>PP&amp;E</t>
  </si>
  <si>
    <t>Lease</t>
  </si>
  <si>
    <t>Goodwill</t>
  </si>
  <si>
    <t>Assets</t>
  </si>
  <si>
    <t>A/P</t>
  </si>
  <si>
    <t>Accrued benefits</t>
  </si>
  <si>
    <t>Accrued expense</t>
  </si>
  <si>
    <t>Accrued revenue share</t>
  </si>
  <si>
    <t>D/R</t>
  </si>
  <si>
    <t>Current liabilities</t>
  </si>
  <si>
    <t>Liabilities</t>
  </si>
  <si>
    <t>S/E</t>
  </si>
  <si>
    <t>L+S/E</t>
  </si>
  <si>
    <t>Model NI</t>
  </si>
  <si>
    <t>Reported NI</t>
  </si>
  <si>
    <t>D&amp;A</t>
  </si>
  <si>
    <t>SBC</t>
  </si>
  <si>
    <t>Working capital</t>
  </si>
  <si>
    <t>CFFO</t>
  </si>
  <si>
    <t>CapEx</t>
  </si>
  <si>
    <t>Acquisitions</t>
  </si>
  <si>
    <t>CFFI</t>
  </si>
  <si>
    <t>SBC payments</t>
  </si>
  <si>
    <t>Buybacks</t>
  </si>
  <si>
    <t>Issuance debt</t>
  </si>
  <si>
    <t>Repayments debt</t>
  </si>
  <si>
    <t>CFFF</t>
  </si>
  <si>
    <t>FX</t>
  </si>
  <si>
    <t>CIC</t>
  </si>
  <si>
    <t>FCF</t>
  </si>
  <si>
    <t>TTM</t>
  </si>
  <si>
    <t>Sales</t>
  </si>
  <si>
    <t>Inventories</t>
  </si>
  <si>
    <t>Q223</t>
  </si>
  <si>
    <t>Q323</t>
  </si>
  <si>
    <t>Q423</t>
  </si>
  <si>
    <t>Q422</t>
  </si>
  <si>
    <t>Q322</t>
  </si>
  <si>
    <t>Q222</t>
  </si>
  <si>
    <t>Q122</t>
  </si>
  <si>
    <t>Youtube Growth</t>
  </si>
  <si>
    <t>Search Growth</t>
  </si>
  <si>
    <t>Service Growth</t>
  </si>
  <si>
    <t>Cloud Growth</t>
  </si>
  <si>
    <t>Google search &amp; other</t>
  </si>
  <si>
    <t>YouTube ads</t>
  </si>
  <si>
    <t>Google network</t>
  </si>
  <si>
    <t>Google advertising</t>
  </si>
  <si>
    <t>Google subscriptions</t>
  </si>
  <si>
    <t>Google cloud</t>
  </si>
  <si>
    <t>Other bests</t>
  </si>
  <si>
    <t>Hedging gains</t>
  </si>
  <si>
    <t>Google services</t>
  </si>
  <si>
    <t>Ads</t>
  </si>
  <si>
    <t>Android</t>
  </si>
  <si>
    <t>Chrome</t>
  </si>
  <si>
    <t>Google Maps</t>
  </si>
  <si>
    <t>Google Play</t>
  </si>
  <si>
    <t>Search</t>
  </si>
  <si>
    <t>YouTube</t>
  </si>
  <si>
    <t>fees received for consumer subscription-based products such as YouTube TV</t>
  </si>
  <si>
    <t>YouTube Music and Premium, and NFL Sunday Ticket, as well as Google One;</t>
  </si>
  <si>
    <t>the sale of apps and in-app purchases and devices.</t>
  </si>
  <si>
    <r>
      <rPr>
        <b/>
        <sz val="10"/>
        <color theme="1"/>
        <rFont val="Arial"/>
        <family val="2"/>
      </rPr>
      <t>Google services</t>
    </r>
    <r>
      <rPr>
        <sz val="10"/>
        <color theme="1"/>
        <rFont val="arial"/>
        <family val="2"/>
      </rPr>
      <t xml:space="preserve"> generates revenue primarly from advertising:</t>
    </r>
  </si>
  <si>
    <t xml:space="preserve">and other services for enterprise customers. Google Cloud generates revenues </t>
  </si>
  <si>
    <t>primarly from consumption-based fees and subscribtions received for Google Cloud</t>
  </si>
  <si>
    <t>Platform services, Google Workspace communication and collaboration tools,</t>
  </si>
  <si>
    <t>and other enterprise services.</t>
  </si>
  <si>
    <t>material. Revenue from Other Bets are generated primarily from the sale of</t>
  </si>
  <si>
    <t>healthcare-related services and internet services.</t>
  </si>
  <si>
    <r>
      <rPr>
        <b/>
        <sz val="10"/>
        <color theme="1"/>
        <rFont val="Arial"/>
        <family val="2"/>
      </rPr>
      <t>Other Bets</t>
    </r>
    <r>
      <rPr>
        <sz val="10"/>
        <color theme="1"/>
        <rFont val="arial"/>
        <family val="2"/>
      </rPr>
      <t xml:space="preserve"> is a combination of multiple operating  segments that are not individually</t>
    </r>
  </si>
  <si>
    <t>Alphabet-level activities</t>
  </si>
  <si>
    <t>including development costs of our general Ai models.</t>
  </si>
  <si>
    <r>
      <rPr>
        <b/>
        <sz val="10"/>
        <color theme="1"/>
        <rFont val="Arial"/>
        <family val="2"/>
      </rPr>
      <t>Alphabet-level activities</t>
    </r>
    <r>
      <rPr>
        <sz val="10"/>
        <color theme="1"/>
        <rFont val="arial"/>
        <family val="2"/>
      </rPr>
      <t>. These costs primarily include AI-focused shared R&amp;D activities,</t>
    </r>
  </si>
  <si>
    <r>
      <rPr>
        <b/>
        <sz val="10"/>
        <color theme="1"/>
        <rFont val="Arial"/>
        <family val="2"/>
      </rPr>
      <t xml:space="preserve">Google Cloud </t>
    </r>
    <r>
      <rPr>
        <sz val="10"/>
        <color theme="1"/>
        <rFont val="arial"/>
        <family val="2"/>
      </rPr>
      <t>includes infrastructure and platform services, collaboration tools,</t>
    </r>
  </si>
  <si>
    <t>Q224</t>
  </si>
  <si>
    <t>Tangible bookvalue</t>
  </si>
  <si>
    <t>Employees</t>
  </si>
  <si>
    <t>Q324</t>
  </si>
  <si>
    <t>Dividends</t>
  </si>
  <si>
    <t>United States</t>
  </si>
  <si>
    <t>EMEA</t>
  </si>
  <si>
    <t>APAC</t>
  </si>
  <si>
    <t>Other America</t>
  </si>
  <si>
    <t>Q421</t>
  </si>
  <si>
    <t>Q321</t>
  </si>
  <si>
    <t>Q221</t>
  </si>
  <si>
    <t>Q121</t>
  </si>
  <si>
    <t>ROIC</t>
  </si>
  <si>
    <t>NPV</t>
  </si>
  <si>
    <t>NOPAT</t>
  </si>
  <si>
    <t>Founded</t>
  </si>
  <si>
    <t>Founders</t>
  </si>
  <si>
    <t>Larry Page</t>
  </si>
  <si>
    <t>Sergey Brin</t>
  </si>
  <si>
    <t>Devices</t>
  </si>
  <si>
    <t>Global advertising revenue</t>
  </si>
  <si>
    <t>United States revenue</t>
  </si>
  <si>
    <t>change y/y</t>
  </si>
  <si>
    <t>margin</t>
  </si>
  <si>
    <t>Omnicom revenue</t>
  </si>
  <si>
    <t>WPP revenue</t>
  </si>
  <si>
    <t>Google market share</t>
  </si>
  <si>
    <t>Google revenue</t>
  </si>
  <si>
    <t>Meta revenue</t>
  </si>
  <si>
    <t>Bytedance revenue</t>
  </si>
  <si>
    <t>Amazon revenue</t>
  </si>
  <si>
    <t>Alibaba revenue</t>
  </si>
  <si>
    <t>Q424</t>
  </si>
  <si>
    <t>Other income</t>
  </si>
  <si>
    <t>Service operating margin</t>
  </si>
  <si>
    <t>Cloud operating margin</t>
  </si>
  <si>
    <t>Digital advertising share</t>
  </si>
  <si>
    <t>Digital advertising spend</t>
  </si>
  <si>
    <t>Search advertising spend</t>
  </si>
  <si>
    <t>Search advertising share</t>
  </si>
  <si>
    <t>NI TTM</t>
  </si>
  <si>
    <t>Other best</t>
  </si>
  <si>
    <t>Revenues:</t>
  </si>
  <si>
    <t>Total</t>
  </si>
  <si>
    <t>y/y</t>
  </si>
  <si>
    <t>Share</t>
  </si>
  <si>
    <t>Current</t>
  </si>
  <si>
    <t>Search % of Rev</t>
  </si>
  <si>
    <t>Advertising %</t>
  </si>
  <si>
    <t>Cloud %</t>
  </si>
  <si>
    <t>Main</t>
  </si>
  <si>
    <t>Terminal</t>
  </si>
  <si>
    <t>Discount</t>
  </si>
  <si>
    <t>Upside</t>
  </si>
  <si>
    <t>Q125</t>
  </si>
  <si>
    <t>Q225</t>
  </si>
  <si>
    <t>Q325</t>
  </si>
  <si>
    <t>Q425</t>
  </si>
  <si>
    <t>EV/E</t>
  </si>
  <si>
    <t>Q/Q growth</t>
  </si>
  <si>
    <t>United States y/y</t>
  </si>
  <si>
    <t>EMEA y/y</t>
  </si>
  <si>
    <t>APAC y/y</t>
  </si>
  <si>
    <t>Other America y/y</t>
  </si>
  <si>
    <t>Geography</t>
  </si>
  <si>
    <t>EV/FCF</t>
  </si>
  <si>
    <t>P/E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</si>
</sst>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\x"/>
    <numFmt numFmtId="165" formatCode="#,##0_ ;[Red]\-#,##0\ "/>
    <numFmt numFmtId="166" formatCode="0.0,"/>
    <numFmt numFmtId="167" formatCode="d/mm/yy;@"/>
    <numFmt numFmtId="168" formatCode="0.0%"/>
  </numFmts>
  <fonts count="20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1"/>
      <color theme="10"/>
      <name val="Arial"/>
      <family val="2"/>
    </font>
    <font>
      <b/>
      <u/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77">
    <xf numFmtId="0" fontId="0" fillId="0" borderId="0" xfId="0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0" fillId="0" borderId="0" xfId="0" applyFont="1"/>
    <xf numFmtId="3" fontId="11" fillId="0" borderId="0" xfId="0" applyNumberFormat="1" applyFont="1"/>
    <xf numFmtId="3" fontId="11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3" fontId="10" fillId="0" borderId="0" xfId="0" applyNumberFormat="1" applyFont="1"/>
    <xf numFmtId="0" fontId="9" fillId="0" borderId="0" xfId="0" applyFont="1" applyAlignment="1">
      <alignment horizontal="left" indent="1"/>
    </xf>
    <xf numFmtId="0" fontId="9" fillId="0" borderId="0" xfId="0" applyFont="1"/>
    <xf numFmtId="0" fontId="8" fillId="0" borderId="0" xfId="0" applyFont="1"/>
    <xf numFmtId="164" fontId="11" fillId="0" borderId="0" xfId="0" applyNumberFormat="1" applyFont="1"/>
    <xf numFmtId="0" fontId="7" fillId="0" borderId="0" xfId="0" applyFont="1" applyAlignment="1">
      <alignment horizontal="right"/>
    </xf>
    <xf numFmtId="0" fontId="7" fillId="0" borderId="0" xfId="0" applyFont="1"/>
    <xf numFmtId="0" fontId="13" fillId="0" borderId="0" xfId="0" applyFont="1" applyAlignment="1">
      <alignment horizontal="left"/>
    </xf>
    <xf numFmtId="3" fontId="7" fillId="0" borderId="0" xfId="0" applyNumberFormat="1" applyFont="1" applyAlignment="1">
      <alignment horizontal="left" indent="1"/>
    </xf>
    <xf numFmtId="3" fontId="7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left" indent="2"/>
    </xf>
    <xf numFmtId="3" fontId="12" fillId="0" borderId="0" xfId="0" applyNumberFormat="1" applyFont="1" applyAlignment="1">
      <alignment horizontal="left"/>
    </xf>
    <xf numFmtId="3" fontId="12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left"/>
    </xf>
    <xf numFmtId="3" fontId="12" fillId="0" borderId="0" xfId="0" applyNumberFormat="1" applyFont="1"/>
    <xf numFmtId="3" fontId="7" fillId="0" borderId="0" xfId="0" applyNumberFormat="1" applyFont="1"/>
    <xf numFmtId="4" fontId="7" fillId="0" borderId="0" xfId="0" applyNumberFormat="1" applyFont="1"/>
    <xf numFmtId="9" fontId="12" fillId="0" borderId="0" xfId="0" applyNumberFormat="1" applyFont="1"/>
    <xf numFmtId="9" fontId="7" fillId="0" borderId="0" xfId="0" applyNumberFormat="1" applyFont="1"/>
    <xf numFmtId="9" fontId="7" fillId="0" borderId="0" xfId="0" applyNumberFormat="1" applyFont="1" applyAlignment="1">
      <alignment horizontal="right"/>
    </xf>
    <xf numFmtId="9" fontId="12" fillId="0" borderId="0" xfId="0" applyNumberFormat="1" applyFont="1" applyAlignment="1">
      <alignment horizontal="right"/>
    </xf>
    <xf numFmtId="165" fontId="7" fillId="0" borderId="0" xfId="0" applyNumberFormat="1" applyFont="1"/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 indent="1"/>
    </xf>
    <xf numFmtId="0" fontId="6" fillId="0" borderId="0" xfId="0" applyFont="1"/>
    <xf numFmtId="0" fontId="5" fillId="0" borderId="0" xfId="0" applyFont="1"/>
    <xf numFmtId="166" fontId="12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4" fillId="0" borderId="0" xfId="0" applyFont="1" applyAlignment="1">
      <alignment horizontal="left" indent="1"/>
    </xf>
    <xf numFmtId="0" fontId="4" fillId="0" borderId="0" xfId="0" applyFont="1"/>
    <xf numFmtId="9" fontId="11" fillId="0" borderId="0" xfId="0" applyNumberFormat="1" applyFont="1"/>
    <xf numFmtId="3" fontId="4" fillId="0" borderId="0" xfId="0" applyNumberFormat="1" applyFont="1"/>
    <xf numFmtId="9" fontId="4" fillId="0" borderId="0" xfId="0" applyNumberFormat="1" applyFont="1"/>
    <xf numFmtId="167" fontId="13" fillId="0" borderId="0" xfId="0" applyNumberFormat="1" applyFont="1"/>
    <xf numFmtId="167" fontId="7" fillId="0" borderId="0" xfId="0" applyNumberFormat="1" applyFont="1" applyAlignment="1">
      <alignment horizontal="right"/>
    </xf>
    <xf numFmtId="167" fontId="7" fillId="0" borderId="0" xfId="0" applyNumberFormat="1" applyFont="1"/>
    <xf numFmtId="0" fontId="4" fillId="0" borderId="0" xfId="0" applyFont="1" applyAlignment="1">
      <alignment horizontal="right"/>
    </xf>
    <xf numFmtId="168" fontId="4" fillId="0" borderId="0" xfId="0" applyNumberFormat="1" applyFont="1"/>
    <xf numFmtId="168" fontId="11" fillId="0" borderId="0" xfId="0" applyNumberFormat="1" applyFont="1"/>
    <xf numFmtId="168" fontId="7" fillId="0" borderId="0" xfId="0" applyNumberFormat="1" applyFont="1"/>
    <xf numFmtId="0" fontId="4" fillId="0" borderId="1" xfId="0" applyFont="1" applyBorder="1"/>
    <xf numFmtId="3" fontId="11" fillId="0" borderId="1" xfId="0" applyNumberFormat="1" applyFont="1" applyBorder="1"/>
    <xf numFmtId="9" fontId="11" fillId="0" borderId="0" xfId="0" applyNumberFormat="1" applyFont="1" applyAlignment="1">
      <alignment horizontal="center"/>
    </xf>
    <xf numFmtId="168" fontId="11" fillId="0" borderId="0" xfId="0" applyNumberFormat="1" applyFont="1" applyAlignment="1">
      <alignment horizontal="center"/>
    </xf>
    <xf numFmtId="9" fontId="11" fillId="0" borderId="1" xfId="0" applyNumberFormat="1" applyFont="1" applyBorder="1" applyAlignment="1">
      <alignment horizontal="center"/>
    </xf>
    <xf numFmtId="168" fontId="11" fillId="0" borderId="1" xfId="0" applyNumberFormat="1" applyFont="1" applyBorder="1" applyAlignment="1">
      <alignment horizontal="center"/>
    </xf>
    <xf numFmtId="0" fontId="12" fillId="2" borderId="2" xfId="0" applyFont="1" applyFill="1" applyBorder="1"/>
    <xf numFmtId="0" fontId="11" fillId="2" borderId="2" xfId="0" applyFont="1" applyFill="1" applyBorder="1"/>
    <xf numFmtId="0" fontId="4" fillId="2" borderId="2" xfId="0" applyFont="1" applyFill="1" applyBorder="1" applyAlignment="1">
      <alignment horizontal="center"/>
    </xf>
    <xf numFmtId="0" fontId="12" fillId="2" borderId="0" xfId="0" applyFont="1" applyFill="1"/>
    <xf numFmtId="0" fontId="11" fillId="2" borderId="0" xfId="0" applyFont="1" applyFill="1"/>
    <xf numFmtId="9" fontId="11" fillId="2" borderId="0" xfId="0" applyNumberFormat="1" applyFont="1" applyFill="1" applyAlignment="1">
      <alignment horizontal="center"/>
    </xf>
    <xf numFmtId="168" fontId="11" fillId="2" borderId="0" xfId="0" applyNumberFormat="1" applyFont="1" applyFill="1" applyAlignment="1">
      <alignment horizontal="center"/>
    </xf>
    <xf numFmtId="0" fontId="14" fillId="0" borderId="0" xfId="0" applyFont="1"/>
    <xf numFmtId="3" fontId="3" fillId="0" borderId="0" xfId="0" applyNumberFormat="1" applyFont="1"/>
    <xf numFmtId="9" fontId="3" fillId="0" borderId="0" xfId="0" applyNumberFormat="1" applyFont="1"/>
    <xf numFmtId="167" fontId="16" fillId="0" borderId="0" xfId="1" applyNumberFormat="1" applyFont="1"/>
    <xf numFmtId="9" fontId="2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167" fontId="11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8" fontId="5" fillId="0" borderId="0" xfId="0" applyNumberFormat="1" applyFont="1"/>
    <xf numFmtId="168" fontId="2" fillId="0" borderId="0" xfId="0" applyNumberFormat="1" applyFont="1"/>
    <xf numFmtId="0" fontId="17" fillId="0" borderId="0" xfId="0" applyFont="1"/>
    <xf numFmtId="0" fontId="1" fillId="0" borderId="0" xfId="0" applyFont="1" applyAlignment="1"/>
    <xf numFmtId="0" fontId="1" fillId="0" borderId="0" xfId="0" applyFon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080927384076989E-2"/>
          <c:y val="0.17171296296296298"/>
          <c:w val="0.88380796150481189"/>
          <c:h val="0.6714577865266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Graphs!$B$3</c:f>
              <c:strCache>
                <c:ptCount val="1"/>
                <c:pt idx="0">
                  <c:v>Google cloud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tx1">
                          <a:alpha val="50000"/>
                        </a:schemeClr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Graphs!$C$2:$R$2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Graphs!$C$3:$R$3</c:f>
              <c:numCache>
                <c:formatCode>0.0,</c:formatCode>
                <c:ptCount val="16"/>
                <c:pt idx="0">
                  <c:v>1047</c:v>
                </c:pt>
                <c:pt idx="1">
                  <c:v>4628</c:v>
                </c:pt>
                <c:pt idx="2">
                  <c:v>4990</c:v>
                </c:pt>
                <c:pt idx="3">
                  <c:v>5541</c:v>
                </c:pt>
                <c:pt idx="4">
                  <c:v>5821</c:v>
                </c:pt>
                <c:pt idx="5">
                  <c:v>6276</c:v>
                </c:pt>
                <c:pt idx="6">
                  <c:v>6868</c:v>
                </c:pt>
                <c:pt idx="7">
                  <c:v>7315</c:v>
                </c:pt>
                <c:pt idx="8">
                  <c:v>7454</c:v>
                </c:pt>
                <c:pt idx="9">
                  <c:v>8031</c:v>
                </c:pt>
                <c:pt idx="10">
                  <c:v>9192</c:v>
                </c:pt>
                <c:pt idx="11">
                  <c:v>9192</c:v>
                </c:pt>
                <c:pt idx="12">
                  <c:v>9574</c:v>
                </c:pt>
                <c:pt idx="13">
                  <c:v>10347</c:v>
                </c:pt>
                <c:pt idx="14">
                  <c:v>11353</c:v>
                </c:pt>
                <c:pt idx="15">
                  <c:v>11955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7-427F-AF1D-D55C31C33B45}"/>
            </c:ext>
          </c:extLst>
        </c:ser>
        <c:ser>
          <c:idx val="1"/>
          <c:order val="1"/>
          <c:tx>
            <c:strRef>
              <c:f>Graphs!$B$4</c:f>
              <c:strCache>
                <c:ptCount val="1"/>
                <c:pt idx="0">
                  <c:v>Operating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tx1">
                          <a:alpha val="50000"/>
                        </a:schemeClr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Graphs!$C$2:$R$2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Graphs!$C$4:$R$4</c:f>
              <c:numCache>
                <c:formatCode>0.0,</c:formatCode>
                <c:ptCount val="16"/>
                <c:pt idx="0">
                  <c:v>-974</c:v>
                </c:pt>
                <c:pt idx="1">
                  <c:v>-1398</c:v>
                </c:pt>
                <c:pt idx="2">
                  <c:v>-644</c:v>
                </c:pt>
                <c:pt idx="3">
                  <c:v>-890</c:v>
                </c:pt>
                <c:pt idx="4">
                  <c:v>-931</c:v>
                </c:pt>
                <c:pt idx="5">
                  <c:v>-858</c:v>
                </c:pt>
                <c:pt idx="6">
                  <c:v>-440</c:v>
                </c:pt>
                <c:pt idx="7">
                  <c:v>-186</c:v>
                </c:pt>
                <c:pt idx="8">
                  <c:v>191</c:v>
                </c:pt>
                <c:pt idx="9">
                  <c:v>395</c:v>
                </c:pt>
                <c:pt idx="10">
                  <c:v>266</c:v>
                </c:pt>
                <c:pt idx="11">
                  <c:v>864</c:v>
                </c:pt>
                <c:pt idx="12">
                  <c:v>900</c:v>
                </c:pt>
                <c:pt idx="13">
                  <c:v>1172</c:v>
                </c:pt>
                <c:pt idx="14">
                  <c:v>1947</c:v>
                </c:pt>
                <c:pt idx="15">
                  <c:v>2093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7-427F-AF1D-D55C31C33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-48"/>
        <c:axId val="1981625008"/>
        <c:axId val="186419040"/>
      </c:barChart>
      <c:catAx>
        <c:axId val="198162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19040"/>
        <c:crosses val="autoZero"/>
        <c:auto val="1"/>
        <c:lblAlgn val="ctr"/>
        <c:lblOffset val="0"/>
        <c:noMultiLvlLbl val="0"/>
      </c:catAx>
      <c:valAx>
        <c:axId val="1864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0"/>
                </a:schemeClr>
              </a:solidFill>
              <a:round/>
            </a:ln>
            <a:effectLst/>
          </c:spPr>
        </c:majorGridlines>
        <c:numFmt formatCode="0.0," sourceLinked="1"/>
        <c:majorTickMark val="out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62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433508311461045E-2"/>
          <c:y val="3.8078948740678895E-2"/>
          <c:w val="0.44624460533752774"/>
          <c:h val="7.4503832716274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0</xdr:rowOff>
    </xdr:from>
    <xdr:to>
      <xdr:col>18</xdr:col>
      <xdr:colOff>19050</xdr:colOff>
      <xdr:row>140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E2BAB69-C640-3396-7967-54EC9C68D424}"/>
            </a:ext>
          </a:extLst>
        </xdr:cNvPr>
        <xdr:cNvCxnSpPr/>
      </xdr:nvCxnSpPr>
      <xdr:spPr>
        <a:xfrm>
          <a:off x="11182350" y="38100"/>
          <a:ext cx="0" cy="219551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0</xdr:row>
      <xdr:rowOff>0</xdr:rowOff>
    </xdr:from>
    <xdr:to>
      <xdr:col>35</xdr:col>
      <xdr:colOff>0</xdr:colOff>
      <xdr:row>140</xdr:row>
      <xdr:rowOff>47625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9FDA542-ACBF-4E53-A646-6C99B42DDD93}"/>
            </a:ext>
          </a:extLst>
        </xdr:cNvPr>
        <xdr:cNvCxnSpPr/>
      </xdr:nvCxnSpPr>
      <xdr:spPr>
        <a:xfrm>
          <a:off x="21888450" y="0"/>
          <a:ext cx="0" cy="227361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995362</xdr:colOff>
      <xdr:row>9</xdr:row>
      <xdr:rowOff>19050</xdr:rowOff>
    </xdr:from>
    <xdr:to>
      <xdr:col>9</xdr:col>
      <xdr:colOff>76200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596AF9-3AE3-AFF0-3843-BB8AEB953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EAA09-8658-4C09-BCFB-65D37CAECC6A}">
  <dimension ref="A2:O62"/>
  <sheetViews>
    <sheetView workbookViewId="0">
      <selection activeCell="F4" sqref="F4"/>
    </sheetView>
  </sheetViews>
  <sheetFormatPr defaultRowHeight="12.75" x14ac:dyDescent="0.2"/>
  <cols>
    <col min="1" max="1" width="2.85546875" style="1" customWidth="1"/>
    <col min="2" max="2" width="17.85546875" style="1" customWidth="1"/>
    <col min="3" max="4" width="9.140625" style="1"/>
    <col min="5" max="5" width="9.140625" style="1" customWidth="1"/>
    <col min="6" max="9" width="9.140625" style="1"/>
    <col min="10" max="10" width="9.140625" style="1" customWidth="1"/>
    <col min="11" max="11" width="9.140625" style="1"/>
    <col min="12" max="12" width="10.7109375" style="1" bestFit="1" customWidth="1"/>
    <col min="13" max="14" width="9.140625" style="1"/>
    <col min="15" max="15" width="9.42578125" style="1" customWidth="1"/>
    <col min="16" max="16384" width="9.140625" style="1"/>
  </cols>
  <sheetData>
    <row r="2" spans="1:15" x14ac:dyDescent="0.2">
      <c r="A2" s="3"/>
      <c r="B2" s="55" t="s">
        <v>149</v>
      </c>
      <c r="C2" s="56">
        <v>2023</v>
      </c>
      <c r="D2" s="56">
        <v>2024</v>
      </c>
      <c r="E2" s="57" t="s">
        <v>151</v>
      </c>
      <c r="F2" s="57" t="s">
        <v>130</v>
      </c>
    </row>
    <row r="3" spans="1:15" x14ac:dyDescent="0.2">
      <c r="A3" s="3"/>
      <c r="B3" s="68" t="s">
        <v>83</v>
      </c>
      <c r="C3" s="5">
        <v>76311</v>
      </c>
      <c r="D3" s="5">
        <v>84094</v>
      </c>
      <c r="E3" s="51">
        <f>+D3/C3-1</f>
        <v>0.10199053871656782</v>
      </c>
      <c r="F3" s="52">
        <f>+D3/$D$7</f>
        <v>0.87172044905617352</v>
      </c>
      <c r="J3" s="38"/>
      <c r="K3" s="69">
        <v>45751</v>
      </c>
    </row>
    <row r="4" spans="1:15" x14ac:dyDescent="0.2">
      <c r="B4" s="38" t="s">
        <v>80</v>
      </c>
      <c r="C4" s="5">
        <v>9192</v>
      </c>
      <c r="D4" s="5">
        <v>11955</v>
      </c>
      <c r="E4" s="51">
        <f t="shared" ref="E4:E6" si="0">+D4/C4-1</f>
        <v>0.3005874673629243</v>
      </c>
      <c r="F4" s="52">
        <f>+D4/$D$7</f>
        <v>0.12392582072997543</v>
      </c>
      <c r="K4" s="4" t="s">
        <v>0</v>
      </c>
      <c r="L4" s="6">
        <v>147.74</v>
      </c>
    </row>
    <row r="5" spans="1:15" x14ac:dyDescent="0.2">
      <c r="B5" s="38" t="s">
        <v>148</v>
      </c>
      <c r="C5" s="40">
        <v>657</v>
      </c>
      <c r="D5" s="40">
        <v>400</v>
      </c>
      <c r="E5" s="51">
        <f t="shared" si="0"/>
        <v>-0.39117199391171997</v>
      </c>
      <c r="F5" s="52">
        <f>+D5/$D$7</f>
        <v>4.146409727477221E-3</v>
      </c>
      <c r="G5" s="38"/>
      <c r="H5" s="38"/>
      <c r="I5" s="3"/>
      <c r="K5" s="4" t="s">
        <v>1</v>
      </c>
      <c r="L5" s="6">
        <v>12348</v>
      </c>
      <c r="M5" s="45" t="s">
        <v>139</v>
      </c>
      <c r="O5" s="5"/>
    </row>
    <row r="6" spans="1:15" ht="13.5" thickBot="1" x14ac:dyDescent="0.25">
      <c r="B6" s="49" t="s">
        <v>82</v>
      </c>
      <c r="C6" s="50">
        <v>150</v>
      </c>
      <c r="D6" s="50">
        <v>20</v>
      </c>
      <c r="E6" s="53">
        <f t="shared" si="0"/>
        <v>-0.8666666666666667</v>
      </c>
      <c r="F6" s="54">
        <f>+D6/$D$7</f>
        <v>2.0732048637386104E-4</v>
      </c>
      <c r="K6" s="4" t="s">
        <v>2</v>
      </c>
      <c r="L6" s="6">
        <f>+L4*L5</f>
        <v>1824293.52</v>
      </c>
      <c r="M6" s="8"/>
      <c r="O6" s="5"/>
    </row>
    <row r="7" spans="1:15" ht="13.5" thickTop="1" x14ac:dyDescent="0.2">
      <c r="B7" s="38" t="s">
        <v>150</v>
      </c>
      <c r="C7" s="5">
        <f>+SUM(C3:C6)</f>
        <v>86310</v>
      </c>
      <c r="D7" s="5">
        <f>+SUM(D3:D6)</f>
        <v>96469</v>
      </c>
      <c r="E7" s="51">
        <f>+D7/C7-1</f>
        <v>0.11770362646275045</v>
      </c>
      <c r="F7" s="51">
        <f>+SUM(F3:F6)</f>
        <v>1.0000000000000002</v>
      </c>
      <c r="K7" s="4" t="s">
        <v>3</v>
      </c>
      <c r="L7" s="7">
        <f>+Model!R55</f>
        <v>133639</v>
      </c>
      <c r="M7" s="45" t="s">
        <v>139</v>
      </c>
      <c r="O7" s="5"/>
    </row>
    <row r="8" spans="1:15" s="4" customFormat="1" x14ac:dyDescent="0.2">
      <c r="B8" s="58" t="s">
        <v>14</v>
      </c>
      <c r="C8" s="59"/>
      <c r="D8" s="59"/>
      <c r="E8" s="60"/>
      <c r="F8" s="61"/>
      <c r="G8" s="1"/>
      <c r="H8" s="1"/>
      <c r="I8" s="1"/>
      <c r="K8" s="4" t="s">
        <v>4</v>
      </c>
      <c r="L8" s="7">
        <f>+Model!R72</f>
        <v>10883</v>
      </c>
      <c r="M8" s="45" t="s">
        <v>139</v>
      </c>
    </row>
    <row r="9" spans="1:15" x14ac:dyDescent="0.2">
      <c r="B9" s="68" t="s">
        <v>83</v>
      </c>
      <c r="C9" s="5">
        <v>26730</v>
      </c>
      <c r="D9" s="5">
        <v>32836</v>
      </c>
      <c r="E9" s="51">
        <f>+D9/C9-1</f>
        <v>0.22843247287691737</v>
      </c>
      <c r="F9" s="52">
        <f>+D9/$D$13</f>
        <v>0.89868082544200556</v>
      </c>
      <c r="K9" s="4" t="s">
        <v>5</v>
      </c>
      <c r="L9" s="6">
        <f>+L6-L7+L8</f>
        <v>1701537.52</v>
      </c>
    </row>
    <row r="10" spans="1:15" s="4" customFormat="1" x14ac:dyDescent="0.2">
      <c r="B10" s="38" t="s">
        <v>80</v>
      </c>
      <c r="C10" s="40">
        <v>864</v>
      </c>
      <c r="D10" s="40">
        <v>2093</v>
      </c>
      <c r="E10" s="51">
        <f>+D10/C10-1</f>
        <v>1.4224537037037037</v>
      </c>
      <c r="F10" s="52">
        <f>+D10/$D$13</f>
        <v>5.7282828835732665E-2</v>
      </c>
      <c r="G10" s="38"/>
      <c r="H10" s="38"/>
      <c r="I10" s="38"/>
      <c r="K10" s="68" t="s">
        <v>147</v>
      </c>
      <c r="L10" s="9">
        <f>+SUM(Model!O27:R27)</f>
        <v>100118</v>
      </c>
    </row>
    <row r="11" spans="1:15" x14ac:dyDescent="0.2">
      <c r="B11" s="38" t="s">
        <v>148</v>
      </c>
      <c r="C11" s="5">
        <v>-863</v>
      </c>
      <c r="D11" s="5">
        <v>-1174</v>
      </c>
      <c r="E11" s="51">
        <f t="shared" ref="E11" si="1">+D11/C11-1</f>
        <v>0.36037079953650064</v>
      </c>
      <c r="F11" s="52">
        <f>+D11/$D$13</f>
        <v>-3.2130932180195963E-2</v>
      </c>
      <c r="K11" s="68" t="s">
        <v>165</v>
      </c>
      <c r="L11" s="13">
        <f>+L9/L10</f>
        <v>16.995320721548573</v>
      </c>
    </row>
    <row r="12" spans="1:15" ht="13.5" thickBot="1" x14ac:dyDescent="0.25">
      <c r="B12" s="49" t="s">
        <v>82</v>
      </c>
      <c r="C12" s="50">
        <v>-3034</v>
      </c>
      <c r="D12" s="50">
        <v>2783</v>
      </c>
      <c r="E12" s="53">
        <f>+D12/C12-1</f>
        <v>-1.9172709294660515</v>
      </c>
      <c r="F12" s="54">
        <f>+D12/$D$13</f>
        <v>7.6167277902457711E-2</v>
      </c>
    </row>
    <row r="13" spans="1:15" ht="13.5" thickTop="1" x14ac:dyDescent="0.2">
      <c r="B13" s="38" t="s">
        <v>150</v>
      </c>
      <c r="C13" s="5">
        <f>+SUM(C9:C12)</f>
        <v>23697</v>
      </c>
      <c r="D13" s="5">
        <f>+SUM(D9:D12)</f>
        <v>36538</v>
      </c>
      <c r="E13" s="51">
        <f>+D13/C13-1</f>
        <v>0.54188293876862059</v>
      </c>
      <c r="F13" s="51">
        <f>+SUM(F9:F12)</f>
        <v>1</v>
      </c>
      <c r="K13" s="33" t="s">
        <v>122</v>
      </c>
      <c r="L13" s="1">
        <v>1998</v>
      </c>
    </row>
    <row r="14" spans="1:15" s="2" customFormat="1" x14ac:dyDescent="0.2">
      <c r="B14" s="1"/>
      <c r="C14" s="1"/>
      <c r="D14" s="1"/>
      <c r="E14" s="1"/>
      <c r="F14" s="1"/>
      <c r="G14" s="1"/>
      <c r="H14" s="1"/>
      <c r="I14" s="1"/>
      <c r="K14" s="33" t="s">
        <v>123</v>
      </c>
      <c r="L14" s="33" t="s">
        <v>124</v>
      </c>
    </row>
    <row r="15" spans="1:15" x14ac:dyDescent="0.2">
      <c r="B15" s="2" t="s">
        <v>83</v>
      </c>
      <c r="L15" s="33" t="s">
        <v>125</v>
      </c>
    </row>
    <row r="16" spans="1:15" x14ac:dyDescent="0.2">
      <c r="B16" s="10" t="s">
        <v>84</v>
      </c>
    </row>
    <row r="17" spans="2:9" x14ac:dyDescent="0.2">
      <c r="B17" s="10" t="s">
        <v>85</v>
      </c>
    </row>
    <row r="18" spans="2:9" x14ac:dyDescent="0.2">
      <c r="B18" s="10" t="s">
        <v>86</v>
      </c>
      <c r="I18" s="4"/>
    </row>
    <row r="19" spans="2:9" x14ac:dyDescent="0.2">
      <c r="B19" s="37" t="s">
        <v>126</v>
      </c>
      <c r="C19" s="4"/>
      <c r="D19" s="4"/>
      <c r="E19" s="4"/>
      <c r="F19" s="4"/>
      <c r="G19" s="4"/>
      <c r="H19" s="4"/>
    </row>
    <row r="20" spans="2:9" x14ac:dyDescent="0.2">
      <c r="B20" s="10" t="s">
        <v>87</v>
      </c>
      <c r="I20" s="4"/>
    </row>
    <row r="21" spans="2:9" x14ac:dyDescent="0.2">
      <c r="B21" s="10" t="s">
        <v>88</v>
      </c>
      <c r="C21" s="4"/>
      <c r="D21" s="4"/>
      <c r="E21" s="4"/>
      <c r="F21" s="4"/>
      <c r="G21" s="4"/>
      <c r="H21" s="4"/>
    </row>
    <row r="22" spans="2:9" x14ac:dyDescent="0.2">
      <c r="B22" s="10" t="s">
        <v>89</v>
      </c>
    </row>
    <row r="23" spans="2:9" x14ac:dyDescent="0.2">
      <c r="B23" s="10" t="s">
        <v>90</v>
      </c>
    </row>
    <row r="24" spans="2:9" x14ac:dyDescent="0.2">
      <c r="B24" s="11" t="s">
        <v>94</v>
      </c>
      <c r="I24" s="2"/>
    </row>
    <row r="25" spans="2:9" x14ac:dyDescent="0.2">
      <c r="B25" s="11" t="s">
        <v>91</v>
      </c>
      <c r="C25" s="2"/>
      <c r="D25" s="2"/>
      <c r="E25" s="2"/>
      <c r="F25" s="2"/>
      <c r="G25" s="2"/>
      <c r="H25" s="2"/>
    </row>
    <row r="26" spans="2:9" x14ac:dyDescent="0.2">
      <c r="B26" s="11" t="s">
        <v>92</v>
      </c>
    </row>
    <row r="27" spans="2:9" x14ac:dyDescent="0.2">
      <c r="B27" s="11" t="s">
        <v>93</v>
      </c>
    </row>
    <row r="28" spans="2:9" x14ac:dyDescent="0.2">
      <c r="B28" s="12" t="s">
        <v>105</v>
      </c>
    </row>
    <row r="29" spans="2:9" x14ac:dyDescent="0.2">
      <c r="B29" s="11" t="s">
        <v>95</v>
      </c>
    </row>
    <row r="30" spans="2:9" s="5" customFormat="1" x14ac:dyDescent="0.2">
      <c r="B30" s="11" t="s">
        <v>96</v>
      </c>
      <c r="C30" s="1"/>
      <c r="D30" s="1"/>
      <c r="E30" s="1"/>
      <c r="F30" s="1"/>
      <c r="G30" s="1"/>
      <c r="H30" s="1"/>
      <c r="I30" s="1"/>
    </row>
    <row r="31" spans="2:9" s="47" customFormat="1" x14ac:dyDescent="0.2">
      <c r="B31" s="11" t="s">
        <v>97</v>
      </c>
      <c r="C31" s="1"/>
      <c r="D31" s="1"/>
      <c r="E31" s="1"/>
      <c r="F31" s="1"/>
      <c r="G31" s="1"/>
      <c r="H31" s="1"/>
      <c r="I31" s="1"/>
    </row>
    <row r="32" spans="2:9" s="47" customFormat="1" x14ac:dyDescent="0.2">
      <c r="B32" s="11" t="s">
        <v>98</v>
      </c>
      <c r="C32" s="1"/>
      <c r="D32" s="1"/>
      <c r="E32" s="1"/>
      <c r="F32" s="1"/>
      <c r="G32" s="1"/>
      <c r="H32" s="1"/>
      <c r="I32" s="1"/>
    </row>
    <row r="33" spans="2:9" s="5" customFormat="1" x14ac:dyDescent="0.2">
      <c r="B33" s="11" t="s">
        <v>101</v>
      </c>
      <c r="C33" s="1"/>
      <c r="D33" s="1"/>
      <c r="E33" s="1"/>
      <c r="F33" s="1"/>
      <c r="G33" s="1"/>
      <c r="H33" s="1"/>
      <c r="I33" s="1"/>
    </row>
    <row r="34" spans="2:9" s="39" customFormat="1" x14ac:dyDescent="0.2">
      <c r="B34" s="11" t="s">
        <v>99</v>
      </c>
      <c r="C34" s="1"/>
      <c r="D34" s="1"/>
      <c r="E34" s="1"/>
      <c r="F34" s="1"/>
      <c r="G34" s="1"/>
      <c r="H34" s="1"/>
      <c r="I34" s="1"/>
    </row>
    <row r="35" spans="2:9" s="39" customFormat="1" x14ac:dyDescent="0.2">
      <c r="B35" s="11" t="s">
        <v>100</v>
      </c>
      <c r="C35" s="1"/>
      <c r="D35" s="1"/>
      <c r="E35" s="1"/>
      <c r="F35" s="1"/>
      <c r="G35" s="1"/>
      <c r="H35" s="1"/>
      <c r="I35" s="1"/>
    </row>
    <row r="36" spans="2:9" s="5" customFormat="1" x14ac:dyDescent="0.2">
      <c r="B36" s="1"/>
      <c r="C36" s="1"/>
      <c r="D36" s="1"/>
      <c r="E36" s="1"/>
      <c r="F36" s="1"/>
      <c r="G36" s="1"/>
      <c r="H36" s="1"/>
      <c r="I36" s="1"/>
    </row>
    <row r="37" spans="2:9" s="47" customFormat="1" x14ac:dyDescent="0.2">
      <c r="B37" s="11" t="s">
        <v>104</v>
      </c>
      <c r="C37" s="1"/>
      <c r="D37" s="1"/>
      <c r="E37" s="1"/>
      <c r="F37" s="1"/>
      <c r="G37" s="1"/>
      <c r="H37" s="1"/>
      <c r="I37" s="1"/>
    </row>
    <row r="38" spans="2:9" s="47" customFormat="1" x14ac:dyDescent="0.2">
      <c r="B38" s="11" t="s">
        <v>103</v>
      </c>
      <c r="C38" s="1"/>
      <c r="D38" s="1"/>
      <c r="E38" s="1"/>
      <c r="F38" s="1"/>
      <c r="G38" s="1"/>
      <c r="H38" s="1"/>
      <c r="I38" s="1"/>
    </row>
    <row r="39" spans="2:9" s="47" customFormat="1" x14ac:dyDescent="0.2">
      <c r="B39" s="1"/>
      <c r="C39" s="1"/>
      <c r="D39" s="1"/>
      <c r="E39" s="1"/>
      <c r="F39" s="1"/>
      <c r="G39" s="1"/>
      <c r="H39" s="1"/>
    </row>
    <row r="40" spans="2:9" s="47" customFormat="1" x14ac:dyDescent="0.2"/>
    <row r="41" spans="2:9" s="47" customFormat="1" x14ac:dyDescent="0.2"/>
    <row r="51" s="39" customFormat="1" x14ac:dyDescent="0.2"/>
    <row r="62" s="47" customForma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A16FE-7DD9-4E9E-B72E-0198F0B4AE54}">
  <dimension ref="A1:EQ137"/>
  <sheetViews>
    <sheetView tabSelected="1" workbookViewId="0">
      <pane xSplit="2" ySplit="2" topLeftCell="Z102" activePane="bottomRight" state="frozen"/>
      <selection pane="topRight" activeCell="B1" sqref="B1"/>
      <selection pane="bottomLeft" activeCell="A4" sqref="A4"/>
      <selection pane="bottomRight" activeCell="AC114" sqref="AC114"/>
    </sheetView>
  </sheetViews>
  <sheetFormatPr defaultRowHeight="12.75" x14ac:dyDescent="0.2"/>
  <cols>
    <col min="1" max="1" width="5.42578125" style="24" bestFit="1" customWidth="1"/>
    <col min="2" max="2" width="21.140625" style="15" bestFit="1" customWidth="1"/>
    <col min="3" max="5" width="9.140625" style="14" customWidth="1"/>
    <col min="6" max="6" width="9.140625" style="18" customWidth="1"/>
    <col min="7" max="18" width="9.140625" style="24" customWidth="1"/>
    <col min="19" max="21" width="9.140625" style="24"/>
    <col min="22" max="46" width="9.140625" style="24" customWidth="1"/>
    <col min="47" max="47" width="9.28515625" style="24" bestFit="1" customWidth="1"/>
    <col min="48" max="48" width="9" style="24" customWidth="1"/>
    <col min="49" max="49" width="11" style="24" bestFit="1" customWidth="1"/>
    <col min="50" max="147" width="9.28515625" style="24" bestFit="1" customWidth="1"/>
    <col min="148" max="16384" width="9.140625" style="24"/>
  </cols>
  <sheetData>
    <row r="1" spans="1:46" s="44" customFormat="1" ht="14.25" x14ac:dyDescent="0.2">
      <c r="A1" s="65" t="s">
        <v>157</v>
      </c>
      <c r="B1" s="42"/>
      <c r="C1" s="43">
        <v>45382</v>
      </c>
      <c r="D1" s="43">
        <v>45473</v>
      </c>
      <c r="E1" s="43">
        <v>45565</v>
      </c>
      <c r="F1" s="43">
        <v>45657</v>
      </c>
      <c r="G1" s="44">
        <v>44651</v>
      </c>
      <c r="H1" s="44">
        <v>44742</v>
      </c>
      <c r="I1" s="44">
        <v>44834</v>
      </c>
      <c r="J1" s="44">
        <v>44926</v>
      </c>
      <c r="K1" s="44">
        <v>45016</v>
      </c>
      <c r="L1" s="44">
        <v>45107</v>
      </c>
      <c r="M1" s="44">
        <v>45199</v>
      </c>
      <c r="N1" s="44">
        <v>45291</v>
      </c>
      <c r="O1" s="44">
        <v>45382</v>
      </c>
      <c r="P1" s="44">
        <v>45473</v>
      </c>
      <c r="Q1" s="44">
        <v>45565</v>
      </c>
      <c r="R1" s="44">
        <v>45657</v>
      </c>
    </row>
    <row r="2" spans="1:46" s="14" customFormat="1" x14ac:dyDescent="0.2">
      <c r="B2" s="16"/>
      <c r="C2" s="14" t="s">
        <v>118</v>
      </c>
      <c r="D2" s="14" t="s">
        <v>117</v>
      </c>
      <c r="E2" s="14" t="s">
        <v>116</v>
      </c>
      <c r="F2" s="14" t="s">
        <v>115</v>
      </c>
      <c r="G2" s="14" t="s">
        <v>70</v>
      </c>
      <c r="H2" s="14" t="s">
        <v>69</v>
      </c>
      <c r="I2" s="14" t="s">
        <v>68</v>
      </c>
      <c r="J2" s="14" t="s">
        <v>67</v>
      </c>
      <c r="K2" s="14" t="s">
        <v>25</v>
      </c>
      <c r="L2" s="14" t="s">
        <v>64</v>
      </c>
      <c r="M2" s="14" t="s">
        <v>65</v>
      </c>
      <c r="N2" s="14" t="s">
        <v>66</v>
      </c>
      <c r="O2" s="14" t="s">
        <v>6</v>
      </c>
      <c r="P2" s="14" t="s">
        <v>106</v>
      </c>
      <c r="Q2" s="14" t="s">
        <v>109</v>
      </c>
      <c r="R2" s="45" t="s">
        <v>139</v>
      </c>
      <c r="S2" s="67" t="s">
        <v>161</v>
      </c>
      <c r="T2" s="67" t="s">
        <v>162</v>
      </c>
      <c r="U2" s="67" t="s">
        <v>163</v>
      </c>
      <c r="V2" s="67" t="s">
        <v>164</v>
      </c>
      <c r="X2" s="14">
        <f t="shared" ref="X2" si="0">+Y2-1</f>
        <v>2013</v>
      </c>
      <c r="Y2" s="14">
        <f t="shared" ref="Y2:AD2" si="1">+Z2-1</f>
        <v>2014</v>
      </c>
      <c r="Z2" s="14">
        <f t="shared" si="1"/>
        <v>2015</v>
      </c>
      <c r="AA2" s="14">
        <f t="shared" si="1"/>
        <v>2016</v>
      </c>
      <c r="AB2" s="14">
        <f t="shared" si="1"/>
        <v>2017</v>
      </c>
      <c r="AC2" s="14">
        <f t="shared" si="1"/>
        <v>2018</v>
      </c>
      <c r="AD2" s="14">
        <f t="shared" si="1"/>
        <v>2019</v>
      </c>
      <c r="AE2" s="14">
        <f>+AF2-1</f>
        <v>2020</v>
      </c>
      <c r="AF2" s="14">
        <v>2021</v>
      </c>
      <c r="AG2" s="14">
        <v>2022</v>
      </c>
      <c r="AH2" s="14">
        <v>2023</v>
      </c>
      <c r="AI2" s="14">
        <f>+AH2+1</f>
        <v>2024</v>
      </c>
      <c r="AJ2" s="14">
        <f t="shared" ref="AJ2:AT2" si="2">+AI2+1</f>
        <v>2025</v>
      </c>
      <c r="AK2" s="14">
        <f t="shared" si="2"/>
        <v>2026</v>
      </c>
      <c r="AL2" s="14">
        <f t="shared" si="2"/>
        <v>2027</v>
      </c>
      <c r="AM2" s="14">
        <f t="shared" si="2"/>
        <v>2028</v>
      </c>
      <c r="AN2" s="14">
        <f t="shared" si="2"/>
        <v>2029</v>
      </c>
      <c r="AO2" s="14">
        <f t="shared" si="2"/>
        <v>2030</v>
      </c>
      <c r="AP2" s="14">
        <f t="shared" si="2"/>
        <v>2031</v>
      </c>
      <c r="AQ2" s="14">
        <f t="shared" si="2"/>
        <v>2032</v>
      </c>
      <c r="AR2" s="14">
        <f t="shared" si="2"/>
        <v>2033</v>
      </c>
      <c r="AS2" s="14">
        <f t="shared" si="2"/>
        <v>2034</v>
      </c>
      <c r="AT2" s="14">
        <f t="shared" si="2"/>
        <v>2035</v>
      </c>
    </row>
    <row r="3" spans="1:46" s="18" customFormat="1" x14ac:dyDescent="0.2">
      <c r="B3" s="17" t="s">
        <v>75</v>
      </c>
      <c r="C3" s="18">
        <v>31879</v>
      </c>
      <c r="D3" s="18">
        <v>35845</v>
      </c>
      <c r="E3" s="18">
        <v>37926</v>
      </c>
      <c r="F3" s="18">
        <v>43301</v>
      </c>
      <c r="G3" s="18">
        <v>39618</v>
      </c>
      <c r="H3" s="18">
        <v>40689</v>
      </c>
      <c r="I3" s="18">
        <v>39539</v>
      </c>
      <c r="J3" s="18">
        <v>42604</v>
      </c>
      <c r="K3" s="18">
        <v>40359</v>
      </c>
      <c r="L3" s="18">
        <v>42628</v>
      </c>
      <c r="M3" s="18">
        <v>44026</v>
      </c>
      <c r="N3" s="18">
        <v>48020</v>
      </c>
      <c r="O3" s="18">
        <v>46156</v>
      </c>
      <c r="P3" s="18">
        <v>48509</v>
      </c>
      <c r="Q3" s="18">
        <v>49385</v>
      </c>
      <c r="R3" s="18">
        <v>54034</v>
      </c>
      <c r="AF3" s="18">
        <f>+SUM(C3:F3)</f>
        <v>148951</v>
      </c>
      <c r="AG3" s="18">
        <f>+SUM(G3:J3)</f>
        <v>162450</v>
      </c>
      <c r="AH3" s="18">
        <f>+SUM(K3:N3)</f>
        <v>175033</v>
      </c>
      <c r="AI3" s="18">
        <f>+SUM(O3:R3)</f>
        <v>198084</v>
      </c>
    </row>
    <row r="4" spans="1:46" s="18" customFormat="1" x14ac:dyDescent="0.2">
      <c r="B4" s="17" t="s">
        <v>76</v>
      </c>
      <c r="C4" s="18">
        <v>6005</v>
      </c>
      <c r="D4" s="18">
        <v>7002</v>
      </c>
      <c r="E4" s="18">
        <v>7205</v>
      </c>
      <c r="F4" s="18">
        <v>8633</v>
      </c>
      <c r="G4" s="18">
        <v>6869</v>
      </c>
      <c r="H4" s="18">
        <v>7340</v>
      </c>
      <c r="I4" s="18">
        <v>7071</v>
      </c>
      <c r="J4" s="18">
        <v>7963</v>
      </c>
      <c r="K4" s="18">
        <v>6693</v>
      </c>
      <c r="L4" s="18">
        <v>7665</v>
      </c>
      <c r="M4" s="18">
        <v>7952</v>
      </c>
      <c r="N4" s="18">
        <v>9200</v>
      </c>
      <c r="O4" s="18">
        <v>8090</v>
      </c>
      <c r="P4" s="18">
        <v>8663</v>
      </c>
      <c r="Q4" s="18">
        <v>8921</v>
      </c>
      <c r="R4" s="18">
        <v>10473</v>
      </c>
      <c r="AF4" s="18">
        <f t="shared" ref="AF4:AF15" si="3">+SUM(C4:F4)</f>
        <v>28845</v>
      </c>
      <c r="AG4" s="18">
        <f t="shared" ref="AG4:AG15" si="4">+SUM(G4:J4)</f>
        <v>29243</v>
      </c>
      <c r="AH4" s="18">
        <f t="shared" ref="AH4:AH15" si="5">+SUM(K4:N4)</f>
        <v>31510</v>
      </c>
      <c r="AI4" s="18">
        <f t="shared" ref="AI4:AI15" si="6">+SUM(O4:R4)</f>
        <v>36147</v>
      </c>
    </row>
    <row r="5" spans="1:46" s="18" customFormat="1" x14ac:dyDescent="0.2">
      <c r="B5" s="17" t="s">
        <v>77</v>
      </c>
      <c r="C5" s="18">
        <v>6800</v>
      </c>
      <c r="D5" s="18">
        <v>7597</v>
      </c>
      <c r="E5" s="18">
        <v>7999</v>
      </c>
      <c r="F5" s="18">
        <v>9305</v>
      </c>
      <c r="G5" s="18">
        <v>8174</v>
      </c>
      <c r="H5" s="18">
        <v>8259</v>
      </c>
      <c r="I5" s="18">
        <v>7872</v>
      </c>
      <c r="J5" s="18">
        <v>8475</v>
      </c>
      <c r="K5" s="18">
        <v>7496</v>
      </c>
      <c r="L5" s="18">
        <v>7850</v>
      </c>
      <c r="M5" s="18">
        <v>7669</v>
      </c>
      <c r="N5" s="18">
        <v>8297</v>
      </c>
      <c r="O5" s="18">
        <v>7413</v>
      </c>
      <c r="P5" s="18">
        <v>7444</v>
      </c>
      <c r="Q5" s="18">
        <v>7548</v>
      </c>
      <c r="R5" s="18">
        <v>7954</v>
      </c>
      <c r="AF5" s="18">
        <f t="shared" si="3"/>
        <v>31701</v>
      </c>
      <c r="AG5" s="18">
        <f t="shared" si="4"/>
        <v>32780</v>
      </c>
      <c r="AH5" s="18">
        <f t="shared" si="5"/>
        <v>31312</v>
      </c>
      <c r="AI5" s="18">
        <f t="shared" si="6"/>
        <v>30359</v>
      </c>
    </row>
    <row r="6" spans="1:46" s="18" customFormat="1" x14ac:dyDescent="0.2">
      <c r="B6" s="19" t="s">
        <v>78</v>
      </c>
      <c r="C6" s="18">
        <f t="shared" ref="C6:D6" si="7">SUM(C3:C5)</f>
        <v>44684</v>
      </c>
      <c r="D6" s="18">
        <f t="shared" si="7"/>
        <v>50444</v>
      </c>
      <c r="E6" s="18">
        <f t="shared" ref="E6:Q6" si="8">SUM(E3:E5)</f>
        <v>53130</v>
      </c>
      <c r="F6" s="18">
        <f t="shared" si="8"/>
        <v>61239</v>
      </c>
      <c r="G6" s="18">
        <f t="shared" si="8"/>
        <v>54661</v>
      </c>
      <c r="H6" s="18">
        <f t="shared" si="8"/>
        <v>56288</v>
      </c>
      <c r="I6" s="18">
        <f t="shared" si="8"/>
        <v>54482</v>
      </c>
      <c r="J6" s="18">
        <f t="shared" si="8"/>
        <v>59042</v>
      </c>
      <c r="K6" s="18">
        <f t="shared" si="8"/>
        <v>54548</v>
      </c>
      <c r="L6" s="18">
        <f t="shared" si="8"/>
        <v>58143</v>
      </c>
      <c r="M6" s="18">
        <f t="shared" si="8"/>
        <v>59647</v>
      </c>
      <c r="N6" s="18">
        <f t="shared" si="8"/>
        <v>65517</v>
      </c>
      <c r="O6" s="18">
        <f t="shared" si="8"/>
        <v>61659</v>
      </c>
      <c r="P6" s="18">
        <f t="shared" si="8"/>
        <v>64616</v>
      </c>
      <c r="Q6" s="18">
        <f t="shared" si="8"/>
        <v>65854</v>
      </c>
      <c r="R6" s="18">
        <f>SUM(R3:R5)</f>
        <v>72461</v>
      </c>
      <c r="AF6" s="18">
        <f t="shared" ref="AF6:AH6" si="9">SUM(AF3:AF5)</f>
        <v>209497</v>
      </c>
      <c r="AG6" s="18">
        <f t="shared" si="9"/>
        <v>224473</v>
      </c>
      <c r="AH6" s="18">
        <f t="shared" si="9"/>
        <v>237855</v>
      </c>
      <c r="AI6" s="18">
        <f t="shared" si="6"/>
        <v>264590</v>
      </c>
    </row>
    <row r="7" spans="1:46" s="18" customFormat="1" x14ac:dyDescent="0.2">
      <c r="B7" s="17" t="s">
        <v>79</v>
      </c>
      <c r="C7" s="18">
        <v>6494</v>
      </c>
      <c r="D7" s="18">
        <v>6623</v>
      </c>
      <c r="E7" s="18">
        <v>5754</v>
      </c>
      <c r="F7" s="18">
        <v>8161</v>
      </c>
      <c r="G7" s="18">
        <v>6811</v>
      </c>
      <c r="H7" s="18">
        <v>6553</v>
      </c>
      <c r="I7" s="18">
        <v>6895</v>
      </c>
      <c r="J7" s="18">
        <v>8796</v>
      </c>
      <c r="K7" s="18">
        <v>7413</v>
      </c>
      <c r="L7" s="18">
        <v>8142</v>
      </c>
      <c r="M7" s="18">
        <v>8339</v>
      </c>
      <c r="N7" s="18">
        <v>10794</v>
      </c>
      <c r="O7" s="18">
        <v>8739</v>
      </c>
      <c r="P7" s="18">
        <v>9312</v>
      </c>
      <c r="Q7" s="18">
        <v>10656</v>
      </c>
      <c r="R7" s="18">
        <v>11633</v>
      </c>
      <c r="AF7" s="18">
        <f t="shared" si="3"/>
        <v>27032</v>
      </c>
      <c r="AG7" s="18">
        <f t="shared" si="4"/>
        <v>29055</v>
      </c>
      <c r="AH7" s="18">
        <f t="shared" si="5"/>
        <v>34688</v>
      </c>
      <c r="AI7" s="18">
        <f t="shared" si="6"/>
        <v>40340</v>
      </c>
    </row>
    <row r="8" spans="1:46" s="21" customFormat="1" x14ac:dyDescent="0.2">
      <c r="B8" s="20" t="s">
        <v>83</v>
      </c>
      <c r="C8" s="21">
        <f t="shared" ref="C8:D8" si="10">+C7+C6</f>
        <v>51178</v>
      </c>
      <c r="D8" s="21">
        <f t="shared" si="10"/>
        <v>57067</v>
      </c>
      <c r="E8" s="21">
        <f t="shared" ref="E8:P8" si="11">+E7+E6</f>
        <v>58884</v>
      </c>
      <c r="F8" s="21">
        <f t="shared" si="11"/>
        <v>69400</v>
      </c>
      <c r="G8" s="21">
        <f t="shared" si="11"/>
        <v>61472</v>
      </c>
      <c r="H8" s="21">
        <f t="shared" si="11"/>
        <v>62841</v>
      </c>
      <c r="I8" s="21">
        <f t="shared" si="11"/>
        <v>61377</v>
      </c>
      <c r="J8" s="21">
        <f t="shared" si="11"/>
        <v>67838</v>
      </c>
      <c r="K8" s="21">
        <f t="shared" si="11"/>
        <v>61961</v>
      </c>
      <c r="L8" s="21">
        <f t="shared" si="11"/>
        <v>66285</v>
      </c>
      <c r="M8" s="21">
        <f t="shared" si="11"/>
        <v>67986</v>
      </c>
      <c r="N8" s="21">
        <f t="shared" si="11"/>
        <v>76311</v>
      </c>
      <c r="O8" s="21">
        <f t="shared" si="11"/>
        <v>70398</v>
      </c>
      <c r="P8" s="21">
        <f t="shared" si="11"/>
        <v>73928</v>
      </c>
      <c r="Q8" s="21">
        <f>+Q7+Q6</f>
        <v>76510</v>
      </c>
      <c r="R8" s="21">
        <f>+R7+R6</f>
        <v>84094</v>
      </c>
      <c r="AF8" s="21">
        <f t="shared" ref="AF8:AI8" si="12">+AF7+AF6</f>
        <v>236529</v>
      </c>
      <c r="AG8" s="21">
        <f t="shared" si="12"/>
        <v>253528</v>
      </c>
      <c r="AH8" s="21">
        <f t="shared" si="12"/>
        <v>272543</v>
      </c>
      <c r="AI8" s="21">
        <f t="shared" si="12"/>
        <v>304930</v>
      </c>
    </row>
    <row r="9" spans="1:46" s="18" customFormat="1" x14ac:dyDescent="0.2">
      <c r="B9" s="17" t="s">
        <v>14</v>
      </c>
      <c r="C9" s="18">
        <v>19546</v>
      </c>
      <c r="D9" s="18">
        <v>22343</v>
      </c>
      <c r="E9" s="18">
        <v>23973</v>
      </c>
      <c r="F9" s="18">
        <v>25993</v>
      </c>
      <c r="G9" s="18">
        <v>22920</v>
      </c>
      <c r="H9" s="18">
        <v>22770</v>
      </c>
      <c r="I9" s="18">
        <v>18883</v>
      </c>
      <c r="J9" s="18">
        <v>20222</v>
      </c>
      <c r="K9" s="18">
        <v>21737</v>
      </c>
      <c r="L9" s="18">
        <v>23454</v>
      </c>
      <c r="M9" s="18">
        <v>23937</v>
      </c>
      <c r="N9" s="18">
        <v>26730</v>
      </c>
      <c r="O9" s="18">
        <v>27897</v>
      </c>
      <c r="P9" s="18">
        <v>29674</v>
      </c>
      <c r="Q9" s="18">
        <v>30856</v>
      </c>
      <c r="R9" s="18">
        <v>32836</v>
      </c>
      <c r="AF9" s="18">
        <f t="shared" si="3"/>
        <v>91855</v>
      </c>
      <c r="AG9" s="18">
        <f t="shared" si="4"/>
        <v>84795</v>
      </c>
      <c r="AH9" s="18">
        <f t="shared" si="5"/>
        <v>95858</v>
      </c>
      <c r="AI9" s="18">
        <f t="shared" si="6"/>
        <v>121263</v>
      </c>
    </row>
    <row r="10" spans="1:46" s="21" customFormat="1" x14ac:dyDescent="0.2">
      <c r="B10" s="20" t="s">
        <v>80</v>
      </c>
      <c r="C10" s="21">
        <v>1047</v>
      </c>
      <c r="D10" s="21">
        <v>4628</v>
      </c>
      <c r="E10" s="21">
        <v>4990</v>
      </c>
      <c r="F10" s="21">
        <v>5541</v>
      </c>
      <c r="G10" s="21">
        <v>5821</v>
      </c>
      <c r="H10" s="21">
        <v>6276</v>
      </c>
      <c r="I10" s="21">
        <v>6868</v>
      </c>
      <c r="J10" s="21">
        <v>7315</v>
      </c>
      <c r="K10" s="21">
        <v>7454</v>
      </c>
      <c r="L10" s="21">
        <v>8031</v>
      </c>
      <c r="M10" s="21">
        <v>9192</v>
      </c>
      <c r="N10" s="21">
        <v>9192</v>
      </c>
      <c r="O10" s="21">
        <v>9574</v>
      </c>
      <c r="P10" s="21">
        <v>10347</v>
      </c>
      <c r="Q10" s="21">
        <v>11353</v>
      </c>
      <c r="R10" s="21">
        <v>11955</v>
      </c>
      <c r="AF10" s="21">
        <f t="shared" si="3"/>
        <v>16206</v>
      </c>
      <c r="AG10" s="21">
        <f t="shared" si="4"/>
        <v>26280</v>
      </c>
      <c r="AH10" s="21">
        <f t="shared" si="5"/>
        <v>33869</v>
      </c>
      <c r="AI10" s="21">
        <f t="shared" si="6"/>
        <v>43229</v>
      </c>
    </row>
    <row r="11" spans="1:46" s="18" customFormat="1" x14ac:dyDescent="0.2">
      <c r="B11" s="17" t="s">
        <v>14</v>
      </c>
      <c r="C11" s="18">
        <v>-974</v>
      </c>
      <c r="D11" s="18">
        <v>-1398</v>
      </c>
      <c r="E11" s="18">
        <v>-644</v>
      </c>
      <c r="F11" s="18">
        <v>-890</v>
      </c>
      <c r="G11" s="18">
        <v>-931</v>
      </c>
      <c r="H11" s="18">
        <v>-858</v>
      </c>
      <c r="I11" s="18">
        <v>-440</v>
      </c>
      <c r="J11" s="18">
        <v>-186</v>
      </c>
      <c r="K11" s="18">
        <v>191</v>
      </c>
      <c r="L11" s="18">
        <v>395</v>
      </c>
      <c r="M11" s="18">
        <v>266</v>
      </c>
      <c r="N11" s="18">
        <v>864</v>
      </c>
      <c r="O11" s="18">
        <v>900</v>
      </c>
      <c r="P11" s="18">
        <v>1172</v>
      </c>
      <c r="Q11" s="18">
        <v>1947</v>
      </c>
      <c r="R11" s="18">
        <v>2093</v>
      </c>
      <c r="AF11" s="18">
        <f t="shared" si="3"/>
        <v>-3906</v>
      </c>
      <c r="AG11" s="18">
        <f t="shared" si="4"/>
        <v>-2415</v>
      </c>
      <c r="AH11" s="18">
        <f t="shared" si="5"/>
        <v>1716</v>
      </c>
      <c r="AI11" s="18">
        <f t="shared" si="6"/>
        <v>6112</v>
      </c>
    </row>
    <row r="12" spans="1:46" s="18" customFormat="1" x14ac:dyDescent="0.2">
      <c r="B12" s="22" t="s">
        <v>81</v>
      </c>
      <c r="C12" s="18">
        <v>198</v>
      </c>
      <c r="D12" s="18">
        <v>192</v>
      </c>
      <c r="E12" s="18">
        <v>182</v>
      </c>
      <c r="F12" s="18">
        <v>181</v>
      </c>
      <c r="G12" s="18">
        <v>440</v>
      </c>
      <c r="H12" s="18">
        <v>193</v>
      </c>
      <c r="I12" s="18">
        <v>209</v>
      </c>
      <c r="J12" s="18">
        <v>226</v>
      </c>
      <c r="K12" s="18">
        <v>288</v>
      </c>
      <c r="L12" s="18">
        <v>285</v>
      </c>
      <c r="M12" s="18">
        <v>297</v>
      </c>
      <c r="N12" s="18">
        <v>657</v>
      </c>
      <c r="O12" s="18">
        <v>495</v>
      </c>
      <c r="P12" s="18">
        <v>365</v>
      </c>
      <c r="Q12" s="18">
        <v>388</v>
      </c>
      <c r="R12" s="18">
        <v>400</v>
      </c>
      <c r="AF12" s="18">
        <f t="shared" si="3"/>
        <v>753</v>
      </c>
      <c r="AG12" s="18">
        <f t="shared" si="4"/>
        <v>1068</v>
      </c>
      <c r="AH12" s="18">
        <f t="shared" si="5"/>
        <v>1527</v>
      </c>
      <c r="AI12" s="18">
        <f t="shared" si="6"/>
        <v>1648</v>
      </c>
    </row>
    <row r="13" spans="1:46" s="18" customFormat="1" x14ac:dyDescent="0.2">
      <c r="B13" s="17" t="s">
        <v>14</v>
      </c>
      <c r="C13" s="18">
        <v>-1145</v>
      </c>
      <c r="D13" s="18">
        <v>-1398</v>
      </c>
      <c r="E13" s="18">
        <v>-1288</v>
      </c>
      <c r="F13" s="18">
        <v>-1450</v>
      </c>
      <c r="G13" s="18">
        <v>-1155</v>
      </c>
      <c r="H13" s="18">
        <v>-773</v>
      </c>
      <c r="I13" s="18">
        <v>-1225</v>
      </c>
      <c r="J13" s="18">
        <v>-1237</v>
      </c>
      <c r="K13" s="18">
        <v>-1225</v>
      </c>
      <c r="L13" s="18">
        <v>-813</v>
      </c>
      <c r="M13" s="18">
        <v>-1194</v>
      </c>
      <c r="N13" s="18">
        <v>-863</v>
      </c>
      <c r="O13" s="18">
        <v>-1020</v>
      </c>
      <c r="P13" s="18">
        <v>-1134</v>
      </c>
      <c r="Q13" s="18">
        <v>-1116</v>
      </c>
      <c r="R13" s="18">
        <v>-1174</v>
      </c>
      <c r="AF13" s="18">
        <f t="shared" si="3"/>
        <v>-5281</v>
      </c>
      <c r="AG13" s="18">
        <f t="shared" si="4"/>
        <v>-4390</v>
      </c>
      <c r="AH13" s="18">
        <f t="shared" si="5"/>
        <v>-4095</v>
      </c>
      <c r="AI13" s="18">
        <f t="shared" si="6"/>
        <v>-4444</v>
      </c>
    </row>
    <row r="14" spans="1:46" s="18" customFormat="1" x14ac:dyDescent="0.2">
      <c r="B14" s="22" t="s">
        <v>82</v>
      </c>
      <c r="C14" s="18">
        <v>-109</v>
      </c>
      <c r="D14" s="18">
        <v>-7</v>
      </c>
      <c r="E14" s="18">
        <v>62</v>
      </c>
      <c r="F14" s="18">
        <v>203</v>
      </c>
      <c r="G14" s="18">
        <v>278</v>
      </c>
      <c r="H14" s="18">
        <v>375</v>
      </c>
      <c r="I14" s="18">
        <v>638</v>
      </c>
      <c r="J14" s="18">
        <v>669</v>
      </c>
      <c r="K14" s="18">
        <v>84</v>
      </c>
      <c r="L14" s="18">
        <v>3</v>
      </c>
      <c r="M14" s="18">
        <v>-1</v>
      </c>
      <c r="N14" s="18">
        <v>150</v>
      </c>
      <c r="O14" s="18">
        <v>72</v>
      </c>
      <c r="P14" s="18">
        <v>102</v>
      </c>
      <c r="Q14" s="18">
        <v>17</v>
      </c>
      <c r="R14" s="18">
        <v>20</v>
      </c>
      <c r="AF14" s="18">
        <f t="shared" si="3"/>
        <v>149</v>
      </c>
      <c r="AG14" s="18">
        <f t="shared" si="4"/>
        <v>1960</v>
      </c>
      <c r="AH14" s="18">
        <f t="shared" si="5"/>
        <v>236</v>
      </c>
      <c r="AI14" s="18">
        <f t="shared" si="6"/>
        <v>211</v>
      </c>
    </row>
    <row r="15" spans="1:46" s="18" customFormat="1" x14ac:dyDescent="0.2">
      <c r="B15" s="22" t="s">
        <v>102</v>
      </c>
      <c r="C15" s="18">
        <v>-990</v>
      </c>
      <c r="D15" s="18">
        <v>-993</v>
      </c>
      <c r="E15" s="18">
        <v>-1010</v>
      </c>
      <c r="F15" s="18">
        <v>-1768</v>
      </c>
      <c r="G15" s="18">
        <v>-740</v>
      </c>
      <c r="H15" s="18">
        <v>-773</v>
      </c>
      <c r="I15" s="18">
        <v>-83</v>
      </c>
      <c r="J15" s="18">
        <v>-639</v>
      </c>
      <c r="K15" s="18">
        <v>-3288</v>
      </c>
      <c r="L15" s="18">
        <v>-1198</v>
      </c>
      <c r="M15" s="18">
        <v>-1666</v>
      </c>
      <c r="N15" s="18">
        <v>-3034</v>
      </c>
      <c r="O15" s="18">
        <v>-2305</v>
      </c>
      <c r="P15" s="18">
        <v>-2287</v>
      </c>
      <c r="Q15" s="18">
        <v>-3166</v>
      </c>
      <c r="R15" s="18">
        <v>-2783</v>
      </c>
      <c r="V15" s="21"/>
      <c r="AF15" s="18">
        <f t="shared" si="3"/>
        <v>-4761</v>
      </c>
      <c r="AG15" s="18">
        <f t="shared" si="4"/>
        <v>-2235</v>
      </c>
      <c r="AH15" s="18">
        <f t="shared" si="5"/>
        <v>-9186</v>
      </c>
      <c r="AI15" s="18">
        <f t="shared" si="6"/>
        <v>-10541</v>
      </c>
    </row>
    <row r="16" spans="1:46" s="23" customFormat="1" x14ac:dyDescent="0.2">
      <c r="B16" s="2" t="s">
        <v>7</v>
      </c>
      <c r="C16" s="23">
        <v>55314</v>
      </c>
      <c r="D16" s="23">
        <v>61880</v>
      </c>
      <c r="E16" s="23">
        <v>65118</v>
      </c>
      <c r="F16" s="23">
        <v>75325</v>
      </c>
      <c r="G16" s="23">
        <v>68011</v>
      </c>
      <c r="H16" s="23">
        <v>69685</v>
      </c>
      <c r="I16" s="23">
        <v>69092</v>
      </c>
      <c r="J16" s="23">
        <v>76048</v>
      </c>
      <c r="K16" s="23">
        <v>69787</v>
      </c>
      <c r="L16" s="23">
        <v>74604</v>
      </c>
      <c r="M16" s="23">
        <v>76693</v>
      </c>
      <c r="N16" s="23">
        <v>86310</v>
      </c>
      <c r="O16" s="23">
        <v>80539</v>
      </c>
      <c r="P16" s="23">
        <v>84742</v>
      </c>
      <c r="Q16" s="23">
        <v>88268</v>
      </c>
      <c r="R16" s="23">
        <v>96469</v>
      </c>
      <c r="V16" s="27"/>
      <c r="W16" s="27"/>
      <c r="X16" s="23">
        <v>55519</v>
      </c>
      <c r="Y16" s="23">
        <v>66001</v>
      </c>
      <c r="Z16" s="23">
        <v>74989</v>
      </c>
      <c r="AA16" s="23">
        <v>90272</v>
      </c>
      <c r="AB16" s="23">
        <v>110855</v>
      </c>
      <c r="AC16" s="23">
        <v>136819</v>
      </c>
      <c r="AD16" s="23">
        <v>161857</v>
      </c>
      <c r="AE16" s="23">
        <v>182527</v>
      </c>
      <c r="AF16" s="23">
        <v>257637</v>
      </c>
      <c r="AG16" s="23">
        <v>282836</v>
      </c>
      <c r="AH16" s="23">
        <v>307394</v>
      </c>
      <c r="AI16" s="23">
        <f>+SUM(O16:R16)</f>
        <v>350018</v>
      </c>
      <c r="AJ16" s="23">
        <f>+AI16*1.08</f>
        <v>378019.44</v>
      </c>
      <c r="AK16" s="23">
        <f t="shared" ref="AK16:AT16" si="13">+AJ16*1.08</f>
        <v>408260.9952</v>
      </c>
      <c r="AL16" s="23">
        <f t="shared" si="13"/>
        <v>440921.87481600005</v>
      </c>
      <c r="AM16" s="23">
        <f t="shared" si="13"/>
        <v>476195.62480128009</v>
      </c>
      <c r="AN16" s="23">
        <f t="shared" si="13"/>
        <v>514291.27478538256</v>
      </c>
      <c r="AO16" s="23">
        <f t="shared" si="13"/>
        <v>555434.57676821318</v>
      </c>
      <c r="AP16" s="23">
        <f t="shared" si="13"/>
        <v>599869.34290967032</v>
      </c>
      <c r="AQ16" s="23">
        <f t="shared" si="13"/>
        <v>647858.89034244395</v>
      </c>
      <c r="AR16" s="23">
        <f t="shared" si="13"/>
        <v>699687.60156983952</v>
      </c>
      <c r="AS16" s="23">
        <f t="shared" si="13"/>
        <v>755662.60969542677</v>
      </c>
      <c r="AT16" s="23">
        <f t="shared" si="13"/>
        <v>816115.618471061</v>
      </c>
    </row>
    <row r="17" spans="2:147" x14ac:dyDescent="0.2">
      <c r="B17" s="15" t="s">
        <v>8</v>
      </c>
      <c r="C17" s="24">
        <v>24103</v>
      </c>
      <c r="D17" s="24">
        <v>26227</v>
      </c>
      <c r="E17" s="24">
        <v>27621</v>
      </c>
      <c r="F17" s="24">
        <v>32988</v>
      </c>
      <c r="G17" s="24">
        <v>29599</v>
      </c>
      <c r="H17" s="24">
        <v>30104</v>
      </c>
      <c r="I17" s="24">
        <v>31158</v>
      </c>
      <c r="J17" s="24">
        <v>35342</v>
      </c>
      <c r="K17" s="24">
        <v>30612</v>
      </c>
      <c r="L17" s="24">
        <v>31916</v>
      </c>
      <c r="M17" s="24">
        <v>33229</v>
      </c>
      <c r="N17" s="24">
        <v>37575</v>
      </c>
      <c r="O17" s="24">
        <v>33712</v>
      </c>
      <c r="P17" s="24">
        <v>35507</v>
      </c>
      <c r="Q17" s="24">
        <v>36474</v>
      </c>
      <c r="R17" s="24">
        <v>40613</v>
      </c>
      <c r="V17" s="27"/>
      <c r="W17" s="27"/>
      <c r="X17" s="24">
        <v>21993</v>
      </c>
      <c r="Y17" s="24">
        <v>25691</v>
      </c>
      <c r="Z17" s="24">
        <v>28164</v>
      </c>
      <c r="AA17" s="24">
        <v>35138</v>
      </c>
      <c r="AB17" s="24">
        <v>45583</v>
      </c>
      <c r="AC17" s="24">
        <v>59549</v>
      </c>
      <c r="AD17" s="24">
        <v>71896</v>
      </c>
      <c r="AE17" s="24">
        <v>84732</v>
      </c>
      <c r="AF17" s="24">
        <v>110939</v>
      </c>
      <c r="AG17" s="24">
        <v>126203</v>
      </c>
      <c r="AH17" s="24">
        <v>133332</v>
      </c>
      <c r="AI17" s="24">
        <f>+SUM(O17:R17)</f>
        <v>146306</v>
      </c>
      <c r="AJ17" s="24">
        <f>+AI17*1.08</f>
        <v>158010.48000000001</v>
      </c>
      <c r="AK17" s="24">
        <f t="shared" ref="AK17:AT17" si="14">+AJ17*1.08</f>
        <v>170651.31840000002</v>
      </c>
      <c r="AL17" s="24">
        <f t="shared" si="14"/>
        <v>184303.42387200004</v>
      </c>
      <c r="AM17" s="24">
        <f t="shared" si="14"/>
        <v>199047.69778176007</v>
      </c>
      <c r="AN17" s="24">
        <f t="shared" si="14"/>
        <v>214971.51360430088</v>
      </c>
      <c r="AO17" s="24">
        <f t="shared" si="14"/>
        <v>232169.23469264497</v>
      </c>
      <c r="AP17" s="24">
        <f t="shared" si="14"/>
        <v>250742.77346805658</v>
      </c>
      <c r="AQ17" s="24">
        <f t="shared" si="14"/>
        <v>270802.19534550112</v>
      </c>
      <c r="AR17" s="24">
        <f t="shared" si="14"/>
        <v>292466.37097314122</v>
      </c>
      <c r="AS17" s="24">
        <f t="shared" si="14"/>
        <v>315863.68065099255</v>
      </c>
      <c r="AT17" s="24">
        <f t="shared" si="14"/>
        <v>341132.775103072</v>
      </c>
    </row>
    <row r="18" spans="2:147" s="23" customFormat="1" x14ac:dyDescent="0.2">
      <c r="B18" s="2" t="s">
        <v>9</v>
      </c>
      <c r="C18" s="23">
        <f t="shared" ref="C18" si="15">+C16-C17</f>
        <v>31211</v>
      </c>
      <c r="D18" s="23">
        <f t="shared" ref="D18:E18" si="16">+D16-D17</f>
        <v>35653</v>
      </c>
      <c r="E18" s="23">
        <f t="shared" si="16"/>
        <v>37497</v>
      </c>
      <c r="F18" s="23">
        <f t="shared" ref="F18" si="17">+F16-F17</f>
        <v>42337</v>
      </c>
      <c r="G18" s="23">
        <f t="shared" ref="G18:P18" si="18">+G16-G17</f>
        <v>38412</v>
      </c>
      <c r="H18" s="23">
        <f t="shared" si="18"/>
        <v>39581</v>
      </c>
      <c r="I18" s="23">
        <f t="shared" si="18"/>
        <v>37934</v>
      </c>
      <c r="J18" s="23">
        <f t="shared" si="18"/>
        <v>40706</v>
      </c>
      <c r="K18" s="23">
        <f t="shared" si="18"/>
        <v>39175</v>
      </c>
      <c r="L18" s="23">
        <f t="shared" si="18"/>
        <v>42688</v>
      </c>
      <c r="M18" s="23">
        <f t="shared" si="18"/>
        <v>43464</v>
      </c>
      <c r="N18" s="23">
        <f t="shared" si="18"/>
        <v>48735</v>
      </c>
      <c r="O18" s="23">
        <f t="shared" si="18"/>
        <v>46827</v>
      </c>
      <c r="P18" s="23">
        <f t="shared" si="18"/>
        <v>49235</v>
      </c>
      <c r="Q18" s="23">
        <f t="shared" ref="Q18:R18" si="19">+Q16-Q17</f>
        <v>51794</v>
      </c>
      <c r="R18" s="23">
        <f t="shared" si="19"/>
        <v>55856</v>
      </c>
      <c r="V18" s="27"/>
      <c r="W18" s="26"/>
      <c r="X18" s="23">
        <f t="shared" ref="X18:AI18" si="20">+X16-X17</f>
        <v>33526</v>
      </c>
      <c r="Y18" s="23">
        <f t="shared" si="20"/>
        <v>40310</v>
      </c>
      <c r="Z18" s="23">
        <f t="shared" si="20"/>
        <v>46825</v>
      </c>
      <c r="AA18" s="23">
        <f t="shared" si="20"/>
        <v>55134</v>
      </c>
      <c r="AB18" s="23">
        <f t="shared" si="20"/>
        <v>65272</v>
      </c>
      <c r="AC18" s="23">
        <f t="shared" si="20"/>
        <v>77270</v>
      </c>
      <c r="AD18" s="23">
        <f t="shared" si="20"/>
        <v>89961</v>
      </c>
      <c r="AE18" s="23">
        <f t="shared" si="20"/>
        <v>97795</v>
      </c>
      <c r="AF18" s="23">
        <f t="shared" si="20"/>
        <v>146698</v>
      </c>
      <c r="AG18" s="23">
        <f t="shared" si="20"/>
        <v>156633</v>
      </c>
      <c r="AH18" s="23">
        <f t="shared" si="20"/>
        <v>174062</v>
      </c>
      <c r="AI18" s="23">
        <f t="shared" si="20"/>
        <v>203712</v>
      </c>
      <c r="AJ18" s="23">
        <f t="shared" ref="AJ18:AT18" si="21">+AJ16-AJ17</f>
        <v>220008.95999999999</v>
      </c>
      <c r="AK18" s="23">
        <f t="shared" si="21"/>
        <v>237609.67679999999</v>
      </c>
      <c r="AL18" s="23">
        <f t="shared" si="21"/>
        <v>256618.45094400001</v>
      </c>
      <c r="AM18" s="23">
        <f t="shared" si="21"/>
        <v>277147.92701952002</v>
      </c>
      <c r="AN18" s="23">
        <f t="shared" si="21"/>
        <v>299319.76118108165</v>
      </c>
      <c r="AO18" s="23">
        <f t="shared" si="21"/>
        <v>323265.34207556822</v>
      </c>
      <c r="AP18" s="23">
        <f t="shared" si="21"/>
        <v>349126.56944161374</v>
      </c>
      <c r="AQ18" s="23">
        <f t="shared" si="21"/>
        <v>377056.69499694282</v>
      </c>
      <c r="AR18" s="23">
        <f t="shared" si="21"/>
        <v>407221.2305966983</v>
      </c>
      <c r="AS18" s="23">
        <f t="shared" si="21"/>
        <v>439798.92904443422</v>
      </c>
      <c r="AT18" s="23">
        <f t="shared" si="21"/>
        <v>474982.843367989</v>
      </c>
    </row>
    <row r="19" spans="2:147" x14ac:dyDescent="0.2">
      <c r="B19" s="15" t="s">
        <v>10</v>
      </c>
      <c r="C19" s="24">
        <v>7485</v>
      </c>
      <c r="D19" s="24">
        <v>7675</v>
      </c>
      <c r="E19" s="24">
        <v>7694</v>
      </c>
      <c r="F19" s="24">
        <v>8708</v>
      </c>
      <c r="G19" s="24">
        <v>9119</v>
      </c>
      <c r="H19" s="24">
        <v>9841</v>
      </c>
      <c r="I19" s="24">
        <v>10273</v>
      </c>
      <c r="J19" s="24">
        <v>10267</v>
      </c>
      <c r="K19" s="24">
        <v>11468</v>
      </c>
      <c r="L19" s="24">
        <v>10588</v>
      </c>
      <c r="M19" s="24">
        <v>11258</v>
      </c>
      <c r="N19" s="24">
        <v>12113</v>
      </c>
      <c r="O19" s="24">
        <v>11903</v>
      </c>
      <c r="P19" s="24">
        <v>11860</v>
      </c>
      <c r="Q19" s="24">
        <v>12447</v>
      </c>
      <c r="R19" s="24">
        <v>13116</v>
      </c>
      <c r="V19" s="27"/>
      <c r="W19" s="27"/>
      <c r="X19" s="24">
        <v>7137</v>
      </c>
      <c r="Y19" s="24">
        <v>9832</v>
      </c>
      <c r="Z19" s="24">
        <v>12282</v>
      </c>
      <c r="AA19" s="24">
        <v>13948</v>
      </c>
      <c r="AB19" s="24">
        <v>16625</v>
      </c>
      <c r="AC19" s="24">
        <v>21419</v>
      </c>
      <c r="AD19" s="24">
        <v>26018</v>
      </c>
      <c r="AE19" s="24">
        <v>27573</v>
      </c>
      <c r="AF19" s="24">
        <v>31562</v>
      </c>
      <c r="AG19" s="24">
        <v>39500</v>
      </c>
      <c r="AH19" s="24">
        <v>45427</v>
      </c>
      <c r="AI19" s="24">
        <f>+SUM(O19:R19)</f>
        <v>49326</v>
      </c>
      <c r="AJ19" s="24">
        <f>+AI19*1.12</f>
        <v>55245.120000000003</v>
      </c>
      <c r="AK19" s="24">
        <f t="shared" ref="AK19:AT19" si="22">+AJ19*1.12</f>
        <v>61874.534400000011</v>
      </c>
      <c r="AL19" s="24">
        <f t="shared" si="22"/>
        <v>69299.478528000021</v>
      </c>
      <c r="AM19" s="24">
        <f t="shared" si="22"/>
        <v>77615.415951360032</v>
      </c>
      <c r="AN19" s="24">
        <f t="shared" si="22"/>
        <v>86929.265865523237</v>
      </c>
      <c r="AO19" s="24">
        <f t="shared" si="22"/>
        <v>97360.777769386041</v>
      </c>
      <c r="AP19" s="24">
        <f t="shared" si="22"/>
        <v>109044.07110171238</v>
      </c>
      <c r="AQ19" s="24">
        <f t="shared" si="22"/>
        <v>122129.35963391788</v>
      </c>
      <c r="AR19" s="24">
        <f t="shared" si="22"/>
        <v>136784.88278998804</v>
      </c>
      <c r="AS19" s="24">
        <f t="shared" si="22"/>
        <v>153199.06872478663</v>
      </c>
      <c r="AT19" s="24">
        <f t="shared" si="22"/>
        <v>171582.95697176104</v>
      </c>
    </row>
    <row r="20" spans="2:147" x14ac:dyDescent="0.2">
      <c r="B20" s="15" t="s">
        <v>11</v>
      </c>
      <c r="C20" s="24">
        <v>4516</v>
      </c>
      <c r="D20" s="24">
        <v>5276</v>
      </c>
      <c r="E20" s="24">
        <v>5516</v>
      </c>
      <c r="F20" s="24">
        <v>7604</v>
      </c>
      <c r="G20" s="24">
        <v>5825</v>
      </c>
      <c r="H20" s="24">
        <v>6630</v>
      </c>
      <c r="I20" s="24">
        <v>6929</v>
      </c>
      <c r="J20" s="24">
        <v>7183</v>
      </c>
      <c r="K20" s="24">
        <v>6533</v>
      </c>
      <c r="L20" s="24">
        <v>6781</v>
      </c>
      <c r="M20" s="24">
        <v>6884</v>
      </c>
      <c r="N20" s="24">
        <v>7719</v>
      </c>
      <c r="O20" s="24">
        <v>6426</v>
      </c>
      <c r="P20" s="24">
        <v>6792</v>
      </c>
      <c r="Q20" s="24">
        <v>7227</v>
      </c>
      <c r="R20" s="24">
        <v>7363</v>
      </c>
      <c r="V20" s="27"/>
      <c r="W20" s="27"/>
      <c r="X20" s="24">
        <v>6554</v>
      </c>
      <c r="Y20" s="24">
        <v>8131</v>
      </c>
      <c r="Z20" s="24">
        <v>9047</v>
      </c>
      <c r="AA20" s="24">
        <v>10485</v>
      </c>
      <c r="AB20" s="24">
        <v>12893</v>
      </c>
      <c r="AC20" s="24">
        <v>16333</v>
      </c>
      <c r="AD20" s="24">
        <v>18464</v>
      </c>
      <c r="AE20" s="24">
        <v>17946</v>
      </c>
      <c r="AF20" s="24">
        <v>22912</v>
      </c>
      <c r="AG20" s="24">
        <v>26567</v>
      </c>
      <c r="AH20" s="24">
        <v>27917</v>
      </c>
      <c r="AI20" s="24">
        <f>+SUM(O20:R20)</f>
        <v>27808</v>
      </c>
      <c r="AJ20" s="24">
        <f>+AI20*1.06</f>
        <v>29476.480000000003</v>
      </c>
      <c r="AK20" s="24">
        <f t="shared" ref="AK20:AT20" si="23">+AJ20*1.06</f>
        <v>31245.068800000005</v>
      </c>
      <c r="AL20" s="24">
        <f t="shared" si="23"/>
        <v>33119.772928000006</v>
      </c>
      <c r="AM20" s="24">
        <f t="shared" si="23"/>
        <v>35106.959303680007</v>
      </c>
      <c r="AN20" s="24">
        <f t="shared" si="23"/>
        <v>37213.376861900811</v>
      </c>
      <c r="AO20" s="24">
        <f t="shared" si="23"/>
        <v>39446.179473614859</v>
      </c>
      <c r="AP20" s="24">
        <f t="shared" si="23"/>
        <v>41812.950242031751</v>
      </c>
      <c r="AQ20" s="24">
        <f t="shared" si="23"/>
        <v>44321.727256553655</v>
      </c>
      <c r="AR20" s="24">
        <f t="shared" si="23"/>
        <v>46981.030891946873</v>
      </c>
      <c r="AS20" s="24">
        <f t="shared" si="23"/>
        <v>49799.892745463687</v>
      </c>
      <c r="AT20" s="24">
        <f t="shared" si="23"/>
        <v>52787.886310191512</v>
      </c>
    </row>
    <row r="21" spans="2:147" x14ac:dyDescent="0.2">
      <c r="B21" s="15" t="s">
        <v>12</v>
      </c>
      <c r="C21" s="24">
        <v>2773</v>
      </c>
      <c r="D21" s="24">
        <v>3341</v>
      </c>
      <c r="E21" s="24">
        <v>3256</v>
      </c>
      <c r="F21" s="24">
        <v>4140</v>
      </c>
      <c r="G21" s="24">
        <v>3374</v>
      </c>
      <c r="H21" s="24">
        <v>3657</v>
      </c>
      <c r="I21" s="24">
        <v>3597</v>
      </c>
      <c r="J21" s="24">
        <v>5096</v>
      </c>
      <c r="K21" s="24">
        <v>3759</v>
      </c>
      <c r="L21" s="24">
        <v>3481</v>
      </c>
      <c r="M21" s="24">
        <v>3979</v>
      </c>
      <c r="N21" s="24">
        <v>5206</v>
      </c>
      <c r="O21" s="24">
        <v>3026</v>
      </c>
      <c r="P21" s="24">
        <v>3158</v>
      </c>
      <c r="Q21" s="24">
        <v>3599</v>
      </c>
      <c r="R21" s="24">
        <v>4405</v>
      </c>
      <c r="V21" s="27"/>
      <c r="W21" s="27"/>
      <c r="X21" s="24">
        <v>4432</v>
      </c>
      <c r="Y21" s="24">
        <v>5851</v>
      </c>
      <c r="Z21" s="24">
        <v>6136</v>
      </c>
      <c r="AA21" s="24">
        <v>6985</v>
      </c>
      <c r="AB21" s="24">
        <v>6872</v>
      </c>
      <c r="AC21" s="24">
        <v>8126</v>
      </c>
      <c r="AD21" s="24">
        <v>9551</v>
      </c>
      <c r="AE21" s="24">
        <v>11052</v>
      </c>
      <c r="AF21" s="24">
        <v>13510</v>
      </c>
      <c r="AG21" s="24">
        <v>15724</v>
      </c>
      <c r="AH21" s="24">
        <v>16425</v>
      </c>
      <c r="AI21" s="24">
        <f>+SUM(O21:R21)</f>
        <v>14188</v>
      </c>
      <c r="AJ21" s="24">
        <f>+AI21*1.05</f>
        <v>14897.400000000001</v>
      </c>
      <c r="AK21" s="24">
        <f t="shared" ref="AK21:AT21" si="24">+AJ21*1.05</f>
        <v>15642.270000000002</v>
      </c>
      <c r="AL21" s="24">
        <f t="shared" si="24"/>
        <v>16424.383500000004</v>
      </c>
      <c r="AM21" s="24">
        <f t="shared" si="24"/>
        <v>17245.602675000006</v>
      </c>
      <c r="AN21" s="24">
        <f t="shared" si="24"/>
        <v>18107.882808750008</v>
      </c>
      <c r="AO21" s="24">
        <f t="shared" si="24"/>
        <v>19013.276949187508</v>
      </c>
      <c r="AP21" s="24">
        <f t="shared" si="24"/>
        <v>19963.940796646883</v>
      </c>
      <c r="AQ21" s="24">
        <f t="shared" si="24"/>
        <v>20962.137836479229</v>
      </c>
      <c r="AR21" s="24">
        <f t="shared" si="24"/>
        <v>22010.244728303191</v>
      </c>
      <c r="AS21" s="24">
        <f t="shared" si="24"/>
        <v>23110.756964718352</v>
      </c>
      <c r="AT21" s="24">
        <f t="shared" si="24"/>
        <v>24266.294812954271</v>
      </c>
    </row>
    <row r="22" spans="2:147" x14ac:dyDescent="0.2">
      <c r="B22" s="15" t="s">
        <v>13</v>
      </c>
      <c r="C22" s="24">
        <f t="shared" ref="C22" si="25">+SUM(C19:C21)</f>
        <v>14774</v>
      </c>
      <c r="D22" s="24">
        <f t="shared" ref="D22:E22" si="26">+SUM(D19:D21)</f>
        <v>16292</v>
      </c>
      <c r="E22" s="24">
        <f t="shared" si="26"/>
        <v>16466</v>
      </c>
      <c r="F22" s="24">
        <f t="shared" ref="F22" si="27">+SUM(F19:F21)</f>
        <v>20452</v>
      </c>
      <c r="G22" s="24">
        <f t="shared" ref="G22:O22" si="28">+SUM(G19:G21)</f>
        <v>18318</v>
      </c>
      <c r="H22" s="24">
        <f t="shared" si="28"/>
        <v>20128</v>
      </c>
      <c r="I22" s="24">
        <f t="shared" si="28"/>
        <v>20799</v>
      </c>
      <c r="J22" s="24">
        <f t="shared" si="28"/>
        <v>22546</v>
      </c>
      <c r="K22" s="24">
        <f t="shared" si="28"/>
        <v>21760</v>
      </c>
      <c r="L22" s="24">
        <f t="shared" si="28"/>
        <v>20850</v>
      </c>
      <c r="M22" s="24">
        <f t="shared" si="28"/>
        <v>22121</v>
      </c>
      <c r="N22" s="24">
        <f t="shared" si="28"/>
        <v>25038</v>
      </c>
      <c r="O22" s="24">
        <f t="shared" si="28"/>
        <v>21355</v>
      </c>
      <c r="P22" s="24">
        <f t="shared" ref="P22:Q22" si="29">+SUM(P19:P21)</f>
        <v>21810</v>
      </c>
      <c r="Q22" s="24">
        <f t="shared" si="29"/>
        <v>23273</v>
      </c>
      <c r="R22" s="24">
        <f t="shared" ref="R22" si="30">+SUM(R19:R21)</f>
        <v>24884</v>
      </c>
      <c r="X22" s="24">
        <f t="shared" ref="X22:AH22" si="31">+SUM(X19:X21)</f>
        <v>18123</v>
      </c>
      <c r="Y22" s="24">
        <f t="shared" si="31"/>
        <v>23814</v>
      </c>
      <c r="Z22" s="24">
        <f t="shared" si="31"/>
        <v>27465</v>
      </c>
      <c r="AA22" s="24">
        <f t="shared" si="31"/>
        <v>31418</v>
      </c>
      <c r="AB22" s="24">
        <f t="shared" si="31"/>
        <v>36390</v>
      </c>
      <c r="AC22" s="24">
        <f t="shared" si="31"/>
        <v>45878</v>
      </c>
      <c r="AD22" s="24">
        <f t="shared" si="31"/>
        <v>54033</v>
      </c>
      <c r="AE22" s="24">
        <f t="shared" si="31"/>
        <v>56571</v>
      </c>
      <c r="AF22" s="24">
        <f t="shared" si="31"/>
        <v>67984</v>
      </c>
      <c r="AG22" s="24">
        <f t="shared" si="31"/>
        <v>81791</v>
      </c>
      <c r="AH22" s="24">
        <f t="shared" si="31"/>
        <v>89769</v>
      </c>
      <c r="AI22" s="24">
        <f t="shared" ref="AI22:AT22" si="32">+SUM(AI19:AI21)</f>
        <v>91322</v>
      </c>
      <c r="AJ22" s="24">
        <f t="shared" si="32"/>
        <v>99619</v>
      </c>
      <c r="AK22" s="24">
        <f t="shared" si="32"/>
        <v>108761.87320000002</v>
      </c>
      <c r="AL22" s="24">
        <f t="shared" si="32"/>
        <v>118843.63495600002</v>
      </c>
      <c r="AM22" s="24">
        <f t="shared" si="32"/>
        <v>129967.97793004004</v>
      </c>
      <c r="AN22" s="24">
        <f t="shared" si="32"/>
        <v>142250.52553617404</v>
      </c>
      <c r="AO22" s="24">
        <f t="shared" si="32"/>
        <v>155820.23419218842</v>
      </c>
      <c r="AP22" s="24">
        <f t="shared" si="32"/>
        <v>170820.962140391</v>
      </c>
      <c r="AQ22" s="24">
        <f t="shared" si="32"/>
        <v>187413.22472695075</v>
      </c>
      <c r="AR22" s="24">
        <f t="shared" si="32"/>
        <v>205776.1584102381</v>
      </c>
      <c r="AS22" s="24">
        <f t="shared" si="32"/>
        <v>226109.71843496867</v>
      </c>
      <c r="AT22" s="24">
        <f t="shared" si="32"/>
        <v>248637.13809490681</v>
      </c>
    </row>
    <row r="23" spans="2:147" s="23" customFormat="1" x14ac:dyDescent="0.2">
      <c r="B23" s="2" t="s">
        <v>14</v>
      </c>
      <c r="C23" s="23">
        <f t="shared" ref="C23" si="33">+C18-C22</f>
        <v>16437</v>
      </c>
      <c r="D23" s="23">
        <f t="shared" ref="D23:E23" si="34">+D18-D22</f>
        <v>19361</v>
      </c>
      <c r="E23" s="23">
        <f t="shared" si="34"/>
        <v>21031</v>
      </c>
      <c r="F23" s="23">
        <f t="shared" ref="F23" si="35">+F18-F22</f>
        <v>21885</v>
      </c>
      <c r="G23" s="23">
        <f t="shared" ref="G23:O23" si="36">+G18-G22</f>
        <v>20094</v>
      </c>
      <c r="H23" s="23">
        <f t="shared" si="36"/>
        <v>19453</v>
      </c>
      <c r="I23" s="23">
        <f t="shared" si="36"/>
        <v>17135</v>
      </c>
      <c r="J23" s="23">
        <f t="shared" si="36"/>
        <v>18160</v>
      </c>
      <c r="K23" s="23">
        <f t="shared" si="36"/>
        <v>17415</v>
      </c>
      <c r="L23" s="23">
        <f t="shared" si="36"/>
        <v>21838</v>
      </c>
      <c r="M23" s="23">
        <f t="shared" si="36"/>
        <v>21343</v>
      </c>
      <c r="N23" s="23">
        <f t="shared" si="36"/>
        <v>23697</v>
      </c>
      <c r="O23" s="23">
        <f t="shared" si="36"/>
        <v>25472</v>
      </c>
      <c r="P23" s="23">
        <f t="shared" ref="P23:Q23" si="37">+P18-P22</f>
        <v>27425</v>
      </c>
      <c r="Q23" s="23">
        <f t="shared" si="37"/>
        <v>28521</v>
      </c>
      <c r="R23" s="23">
        <f t="shared" ref="R23" si="38">+R18-R22</f>
        <v>30972</v>
      </c>
      <c r="X23" s="23">
        <f t="shared" ref="X23:AH23" si="39">+X18-X22</f>
        <v>15403</v>
      </c>
      <c r="Y23" s="23">
        <f t="shared" si="39"/>
        <v>16496</v>
      </c>
      <c r="Z23" s="23">
        <f t="shared" si="39"/>
        <v>19360</v>
      </c>
      <c r="AA23" s="23">
        <f t="shared" si="39"/>
        <v>23716</v>
      </c>
      <c r="AB23" s="23">
        <f t="shared" si="39"/>
        <v>28882</v>
      </c>
      <c r="AC23" s="23">
        <f t="shared" si="39"/>
        <v>31392</v>
      </c>
      <c r="AD23" s="23">
        <f t="shared" si="39"/>
        <v>35928</v>
      </c>
      <c r="AE23" s="23">
        <f t="shared" si="39"/>
        <v>41224</v>
      </c>
      <c r="AF23" s="23">
        <f t="shared" si="39"/>
        <v>78714</v>
      </c>
      <c r="AG23" s="23">
        <f t="shared" si="39"/>
        <v>74842</v>
      </c>
      <c r="AH23" s="23">
        <f t="shared" si="39"/>
        <v>84293</v>
      </c>
      <c r="AI23" s="23">
        <f t="shared" ref="AI23:AT23" si="40">+AI18-AI22</f>
        <v>112390</v>
      </c>
      <c r="AJ23" s="23">
        <f t="shared" si="40"/>
        <v>120389.95999999999</v>
      </c>
      <c r="AK23" s="23">
        <f t="shared" si="40"/>
        <v>128847.80359999997</v>
      </c>
      <c r="AL23" s="23">
        <f t="shared" si="40"/>
        <v>137774.81598799999</v>
      </c>
      <c r="AM23" s="23">
        <f t="shared" si="40"/>
        <v>147179.94908947998</v>
      </c>
      <c r="AN23" s="23">
        <f t="shared" si="40"/>
        <v>157069.2356449076</v>
      </c>
      <c r="AO23" s="23">
        <f t="shared" si="40"/>
        <v>167445.10788337979</v>
      </c>
      <c r="AP23" s="23">
        <f t="shared" si="40"/>
        <v>178305.60730122274</v>
      </c>
      <c r="AQ23" s="23">
        <f t="shared" si="40"/>
        <v>189643.47026999207</v>
      </c>
      <c r="AR23" s="23">
        <f t="shared" si="40"/>
        <v>201445.07218646019</v>
      </c>
      <c r="AS23" s="23">
        <f t="shared" si="40"/>
        <v>213689.21060946555</v>
      </c>
      <c r="AT23" s="23">
        <f t="shared" si="40"/>
        <v>226345.70527308219</v>
      </c>
    </row>
    <row r="24" spans="2:147" x14ac:dyDescent="0.2">
      <c r="B24" s="38" t="s">
        <v>140</v>
      </c>
      <c r="C24" s="24">
        <v>4846</v>
      </c>
      <c r="D24" s="24">
        <v>2624</v>
      </c>
      <c r="E24" s="24">
        <v>2033</v>
      </c>
      <c r="F24" s="24">
        <v>2517</v>
      </c>
      <c r="G24" s="24">
        <v>-1160</v>
      </c>
      <c r="H24" s="24">
        <v>-439</v>
      </c>
      <c r="I24" s="24">
        <v>-902</v>
      </c>
      <c r="J24" s="24">
        <v>-1013</v>
      </c>
      <c r="K24" s="24">
        <v>790</v>
      </c>
      <c r="L24" s="24">
        <v>65</v>
      </c>
      <c r="M24" s="24">
        <v>-146</v>
      </c>
      <c r="N24" s="24">
        <v>715</v>
      </c>
      <c r="O24" s="24">
        <v>2843</v>
      </c>
      <c r="P24" s="24">
        <v>126</v>
      </c>
      <c r="Q24" s="24">
        <v>3185</v>
      </c>
      <c r="R24" s="24">
        <v>1271</v>
      </c>
      <c r="X24" s="24">
        <v>496</v>
      </c>
      <c r="Y24" s="24">
        <v>763</v>
      </c>
      <c r="Z24" s="24">
        <v>291</v>
      </c>
      <c r="AA24" s="24">
        <v>434</v>
      </c>
      <c r="AB24" s="24">
        <v>1047</v>
      </c>
      <c r="AC24" s="24">
        <v>8592</v>
      </c>
      <c r="AD24" s="24">
        <v>5394</v>
      </c>
      <c r="AE24" s="24">
        <v>6858</v>
      </c>
      <c r="AF24" s="24">
        <v>12020</v>
      </c>
      <c r="AG24" s="24">
        <v>-3514</v>
      </c>
      <c r="AH24" s="24">
        <v>1424</v>
      </c>
      <c r="AI24" s="24">
        <f>+SUM(O24:R24)</f>
        <v>7425</v>
      </c>
      <c r="AJ24" s="24">
        <f t="shared" ref="AJ24:AT24" si="41">+AI54*$AW$34</f>
        <v>3682.68</v>
      </c>
      <c r="AK24" s="24">
        <f t="shared" si="41"/>
        <v>6623.2015679999995</v>
      </c>
      <c r="AL24" s="24">
        <f t="shared" si="41"/>
        <v>9833.8643904815981</v>
      </c>
      <c r="AM24" s="24">
        <f t="shared" si="41"/>
        <v>13332.190115451613</v>
      </c>
      <c r="AN24" s="24">
        <f t="shared" si="41"/>
        <v>17136.327814608489</v>
      </c>
      <c r="AO24" s="24">
        <f t="shared" si="41"/>
        <v>21264.999668599019</v>
      </c>
      <c r="AP24" s="24">
        <f t="shared" si="41"/>
        <v>25737.429217580917</v>
      </c>
      <c r="AQ24" s="24">
        <f t="shared" si="41"/>
        <v>30573.249183076565</v>
      </c>
      <c r="AR24" s="24">
        <f t="shared" si="41"/>
        <v>35792.385434114294</v>
      </c>
      <c r="AS24" s="24">
        <f t="shared" si="41"/>
        <v>41414.913179721909</v>
      </c>
      <c r="AT24" s="24">
        <f t="shared" si="41"/>
        <v>47460.880913525652</v>
      </c>
    </row>
    <row r="25" spans="2:147" x14ac:dyDescent="0.2">
      <c r="B25" s="15" t="s">
        <v>16</v>
      </c>
      <c r="C25" s="24">
        <f t="shared" ref="C25" si="42">+C23+C24</f>
        <v>21283</v>
      </c>
      <c r="D25" s="24">
        <f t="shared" ref="D25:E25" si="43">+D23+D24</f>
        <v>21985</v>
      </c>
      <c r="E25" s="24">
        <f t="shared" si="43"/>
        <v>23064</v>
      </c>
      <c r="F25" s="24">
        <f t="shared" ref="F25" si="44">+F23+F24</f>
        <v>24402</v>
      </c>
      <c r="G25" s="24">
        <f t="shared" ref="G25:O25" si="45">+G23+G24</f>
        <v>18934</v>
      </c>
      <c r="H25" s="24">
        <f t="shared" si="45"/>
        <v>19014</v>
      </c>
      <c r="I25" s="24">
        <f t="shared" si="45"/>
        <v>16233</v>
      </c>
      <c r="J25" s="24">
        <f t="shared" si="45"/>
        <v>17147</v>
      </c>
      <c r="K25" s="24">
        <f t="shared" si="45"/>
        <v>18205</v>
      </c>
      <c r="L25" s="24">
        <f t="shared" si="45"/>
        <v>21903</v>
      </c>
      <c r="M25" s="24">
        <f t="shared" si="45"/>
        <v>21197</v>
      </c>
      <c r="N25" s="24">
        <f t="shared" si="45"/>
        <v>24412</v>
      </c>
      <c r="O25" s="24">
        <f t="shared" si="45"/>
        <v>28315</v>
      </c>
      <c r="P25" s="24">
        <f t="shared" ref="P25:R25" si="46">+P23+P24</f>
        <v>27551</v>
      </c>
      <c r="Q25" s="24">
        <f t="shared" si="46"/>
        <v>31706</v>
      </c>
      <c r="R25" s="24">
        <f t="shared" si="46"/>
        <v>32243</v>
      </c>
      <c r="X25" s="24">
        <f t="shared" ref="X25:AI25" si="47">+X23+X24</f>
        <v>15899</v>
      </c>
      <c r="Y25" s="24">
        <f t="shared" si="47"/>
        <v>17259</v>
      </c>
      <c r="Z25" s="24">
        <f t="shared" si="47"/>
        <v>19651</v>
      </c>
      <c r="AA25" s="24">
        <f t="shared" si="47"/>
        <v>24150</v>
      </c>
      <c r="AB25" s="24">
        <f t="shared" si="47"/>
        <v>29929</v>
      </c>
      <c r="AC25" s="24">
        <f t="shared" si="47"/>
        <v>39984</v>
      </c>
      <c r="AD25" s="24">
        <f t="shared" si="47"/>
        <v>41322</v>
      </c>
      <c r="AE25" s="24">
        <f t="shared" si="47"/>
        <v>48082</v>
      </c>
      <c r="AF25" s="24">
        <f t="shared" si="47"/>
        <v>90734</v>
      </c>
      <c r="AG25" s="24">
        <f t="shared" si="47"/>
        <v>71328</v>
      </c>
      <c r="AH25" s="24">
        <f t="shared" si="47"/>
        <v>85717</v>
      </c>
      <c r="AI25" s="24">
        <f t="shared" si="47"/>
        <v>119815</v>
      </c>
      <c r="AJ25" s="24">
        <f t="shared" ref="AJ25:AT25" si="48">+AJ23+AJ24</f>
        <v>124072.63999999998</v>
      </c>
      <c r="AK25" s="24">
        <f>+AK23+AK24</f>
        <v>135471.00516799997</v>
      </c>
      <c r="AL25" s="24">
        <f t="shared" si="48"/>
        <v>147608.68037848157</v>
      </c>
      <c r="AM25" s="24">
        <f t="shared" si="48"/>
        <v>160512.13920493159</v>
      </c>
      <c r="AN25" s="24">
        <f t="shared" si="48"/>
        <v>174205.5634595161</v>
      </c>
      <c r="AO25" s="24">
        <f t="shared" si="48"/>
        <v>188710.10755197881</v>
      </c>
      <c r="AP25" s="24">
        <f t="shared" si="48"/>
        <v>204043.03651880365</v>
      </c>
      <c r="AQ25" s="24">
        <f t="shared" si="48"/>
        <v>220216.71945306862</v>
      </c>
      <c r="AR25" s="24">
        <f t="shared" si="48"/>
        <v>237237.45762057448</v>
      </c>
      <c r="AS25" s="24">
        <f t="shared" si="48"/>
        <v>255104.12378918746</v>
      </c>
      <c r="AT25" s="24">
        <f t="shared" si="48"/>
        <v>273806.58618660783</v>
      </c>
    </row>
    <row r="26" spans="2:147" x14ac:dyDescent="0.2">
      <c r="B26" s="15" t="s">
        <v>17</v>
      </c>
      <c r="C26" s="24">
        <v>3353</v>
      </c>
      <c r="D26" s="24">
        <v>3460</v>
      </c>
      <c r="E26" s="24">
        <v>4128</v>
      </c>
      <c r="F26" s="24">
        <v>3760</v>
      </c>
      <c r="G26" s="24">
        <v>2498</v>
      </c>
      <c r="H26" s="24">
        <v>3012</v>
      </c>
      <c r="I26" s="24">
        <v>2323</v>
      </c>
      <c r="J26" s="24">
        <v>3523</v>
      </c>
      <c r="K26" s="24">
        <v>3154</v>
      </c>
      <c r="L26" s="24">
        <v>3535</v>
      </c>
      <c r="M26" s="24">
        <v>1508</v>
      </c>
      <c r="N26" s="24">
        <v>3725</v>
      </c>
      <c r="O26" s="24">
        <v>4653</v>
      </c>
      <c r="P26" s="24">
        <v>3932</v>
      </c>
      <c r="Q26" s="24">
        <v>5405</v>
      </c>
      <c r="R26" s="24">
        <v>5707</v>
      </c>
      <c r="X26" s="24">
        <v>2739</v>
      </c>
      <c r="Y26" s="24">
        <v>3639</v>
      </c>
      <c r="Z26" s="24">
        <v>3303</v>
      </c>
      <c r="AA26" s="24">
        <v>4672</v>
      </c>
      <c r="AB26" s="24">
        <v>14531</v>
      </c>
      <c r="AC26" s="24">
        <v>4177</v>
      </c>
      <c r="AD26" s="24">
        <v>5282</v>
      </c>
      <c r="AE26" s="24">
        <v>7813</v>
      </c>
      <c r="AF26" s="24">
        <v>14701</v>
      </c>
      <c r="AG26" s="24">
        <v>11356</v>
      </c>
      <c r="AH26" s="24">
        <v>11922</v>
      </c>
      <c r="AI26" s="24">
        <f>+SUM(O26:R26)</f>
        <v>19697</v>
      </c>
      <c r="AJ26" s="24">
        <f t="shared" ref="AJ26:AT26" si="49">+AJ25*0.21</f>
        <v>26055.254399999994</v>
      </c>
      <c r="AK26" s="24">
        <f t="shared" si="49"/>
        <v>28448.911085279993</v>
      </c>
      <c r="AL26" s="24">
        <f t="shared" si="49"/>
        <v>30997.822879481129</v>
      </c>
      <c r="AM26" s="24">
        <f t="shared" si="49"/>
        <v>33707.549233035636</v>
      </c>
      <c r="AN26" s="24">
        <f t="shared" si="49"/>
        <v>36583.16832649838</v>
      </c>
      <c r="AO26" s="24">
        <f t="shared" si="49"/>
        <v>39629.122585915553</v>
      </c>
      <c r="AP26" s="24">
        <f t="shared" si="49"/>
        <v>42849.037668948768</v>
      </c>
      <c r="AQ26" s="24">
        <f t="shared" si="49"/>
        <v>46245.511085144411</v>
      </c>
      <c r="AR26" s="24">
        <f t="shared" si="49"/>
        <v>49819.866100320636</v>
      </c>
      <c r="AS26" s="24">
        <f t="shared" si="49"/>
        <v>53571.865995729364</v>
      </c>
      <c r="AT26" s="24">
        <f t="shared" si="49"/>
        <v>57499.383099187646</v>
      </c>
    </row>
    <row r="27" spans="2:147" s="23" customFormat="1" x14ac:dyDescent="0.2">
      <c r="B27" s="2" t="s">
        <v>18</v>
      </c>
      <c r="C27" s="23">
        <f t="shared" ref="C27" si="50">+C25-C26</f>
        <v>17930</v>
      </c>
      <c r="D27" s="23">
        <f t="shared" ref="D27:E27" si="51">+D25-D26</f>
        <v>18525</v>
      </c>
      <c r="E27" s="23">
        <f t="shared" si="51"/>
        <v>18936</v>
      </c>
      <c r="F27" s="23">
        <f t="shared" ref="F27" si="52">+F25-F26</f>
        <v>20642</v>
      </c>
      <c r="G27" s="23">
        <f t="shared" ref="G27:O27" si="53">+G25-G26</f>
        <v>16436</v>
      </c>
      <c r="H27" s="23">
        <f t="shared" si="53"/>
        <v>16002</v>
      </c>
      <c r="I27" s="23">
        <f t="shared" si="53"/>
        <v>13910</v>
      </c>
      <c r="J27" s="23">
        <f t="shared" si="53"/>
        <v>13624</v>
      </c>
      <c r="K27" s="23">
        <f t="shared" si="53"/>
        <v>15051</v>
      </c>
      <c r="L27" s="23">
        <f t="shared" si="53"/>
        <v>18368</v>
      </c>
      <c r="M27" s="23">
        <f t="shared" si="53"/>
        <v>19689</v>
      </c>
      <c r="N27" s="23">
        <f t="shared" si="53"/>
        <v>20687</v>
      </c>
      <c r="O27" s="23">
        <f t="shared" si="53"/>
        <v>23662</v>
      </c>
      <c r="P27" s="23">
        <f t="shared" ref="P27:R27" si="54">+P25-P26</f>
        <v>23619</v>
      </c>
      <c r="Q27" s="23">
        <f t="shared" si="54"/>
        <v>26301</v>
      </c>
      <c r="R27" s="23">
        <f t="shared" si="54"/>
        <v>26536</v>
      </c>
      <c r="X27" s="23">
        <f t="shared" ref="X27:AH27" si="55">+X25-X26</f>
        <v>13160</v>
      </c>
      <c r="Y27" s="23">
        <f t="shared" si="55"/>
        <v>13620</v>
      </c>
      <c r="Z27" s="23">
        <f t="shared" si="55"/>
        <v>16348</v>
      </c>
      <c r="AA27" s="23">
        <f t="shared" si="55"/>
        <v>19478</v>
      </c>
      <c r="AB27" s="23">
        <f t="shared" si="55"/>
        <v>15398</v>
      </c>
      <c r="AC27" s="23">
        <f t="shared" si="55"/>
        <v>35807</v>
      </c>
      <c r="AD27" s="23">
        <f t="shared" si="55"/>
        <v>36040</v>
      </c>
      <c r="AE27" s="23">
        <f t="shared" si="55"/>
        <v>40269</v>
      </c>
      <c r="AF27" s="23">
        <f t="shared" si="55"/>
        <v>76033</v>
      </c>
      <c r="AG27" s="23">
        <f t="shared" si="55"/>
        <v>59972</v>
      </c>
      <c r="AH27" s="23">
        <f t="shared" si="55"/>
        <v>73795</v>
      </c>
      <c r="AI27" s="23">
        <f>+AI25-AI26</f>
        <v>100118</v>
      </c>
      <c r="AJ27" s="23">
        <f t="shared" ref="AJ27:AT27" si="56">+AJ25-AJ26</f>
        <v>98017.385599999994</v>
      </c>
      <c r="AK27" s="23">
        <f t="shared" si="56"/>
        <v>107022.09408271998</v>
      </c>
      <c r="AL27" s="23">
        <f t="shared" si="56"/>
        <v>116610.85749900044</v>
      </c>
      <c r="AM27" s="23">
        <f t="shared" si="56"/>
        <v>126804.58997189596</v>
      </c>
      <c r="AN27" s="23">
        <f t="shared" si="56"/>
        <v>137622.39513301771</v>
      </c>
      <c r="AO27" s="23">
        <f t="shared" si="56"/>
        <v>149080.98496606326</v>
      </c>
      <c r="AP27" s="23">
        <f t="shared" si="56"/>
        <v>161193.99884985489</v>
      </c>
      <c r="AQ27" s="23">
        <f t="shared" si="56"/>
        <v>173971.20836792421</v>
      </c>
      <c r="AR27" s="23">
        <f t="shared" si="56"/>
        <v>187417.59152025386</v>
      </c>
      <c r="AS27" s="23">
        <f t="shared" si="56"/>
        <v>201532.25779345809</v>
      </c>
      <c r="AT27" s="23">
        <f t="shared" si="56"/>
        <v>216307.2030874202</v>
      </c>
      <c r="AU27" s="23">
        <f t="shared" ref="AU27:BZ27" si="57">+AT27*(1+$AW$32)</f>
        <v>220633.34714916861</v>
      </c>
      <c r="AV27" s="23">
        <f t="shared" si="57"/>
        <v>225046.01409215198</v>
      </c>
      <c r="AW27" s="23">
        <f t="shared" si="57"/>
        <v>229546.93437399503</v>
      </c>
      <c r="AX27" s="23">
        <f t="shared" si="57"/>
        <v>234137.87306147494</v>
      </c>
      <c r="AY27" s="23">
        <f t="shared" si="57"/>
        <v>238820.63052270445</v>
      </c>
      <c r="AZ27" s="23">
        <f t="shared" si="57"/>
        <v>243597.04313315856</v>
      </c>
      <c r="BA27" s="23">
        <f t="shared" si="57"/>
        <v>248468.98399582173</v>
      </c>
      <c r="BB27" s="23">
        <f t="shared" si="57"/>
        <v>253438.36367573816</v>
      </c>
      <c r="BC27" s="23">
        <f t="shared" si="57"/>
        <v>258507.13094925293</v>
      </c>
      <c r="BD27" s="23">
        <f t="shared" si="57"/>
        <v>263677.27356823802</v>
      </c>
      <c r="BE27" s="23">
        <f t="shared" si="57"/>
        <v>268950.81903960276</v>
      </c>
      <c r="BF27" s="23">
        <f t="shared" si="57"/>
        <v>274329.83542039484</v>
      </c>
      <c r="BG27" s="23">
        <f t="shared" si="57"/>
        <v>279816.43212880276</v>
      </c>
      <c r="BH27" s="23">
        <f t="shared" si="57"/>
        <v>285412.76077137882</v>
      </c>
      <c r="BI27" s="23">
        <f t="shared" si="57"/>
        <v>291121.01598680642</v>
      </c>
      <c r="BJ27" s="23">
        <f t="shared" si="57"/>
        <v>296943.43630654254</v>
      </c>
      <c r="BK27" s="23">
        <f t="shared" si="57"/>
        <v>302882.30503267341</v>
      </c>
      <c r="BL27" s="23">
        <f t="shared" si="57"/>
        <v>308939.95113332686</v>
      </c>
      <c r="BM27" s="23">
        <f t="shared" si="57"/>
        <v>315118.75015599339</v>
      </c>
      <c r="BN27" s="23">
        <f t="shared" si="57"/>
        <v>321421.12515911326</v>
      </c>
      <c r="BO27" s="23">
        <f t="shared" si="57"/>
        <v>327849.54766229552</v>
      </c>
      <c r="BP27" s="23">
        <f t="shared" si="57"/>
        <v>334406.53861554142</v>
      </c>
      <c r="BQ27" s="23">
        <f t="shared" si="57"/>
        <v>341094.66938785225</v>
      </c>
      <c r="BR27" s="23">
        <f t="shared" si="57"/>
        <v>347916.56277560932</v>
      </c>
      <c r="BS27" s="23">
        <f t="shared" si="57"/>
        <v>354874.89403112151</v>
      </c>
      <c r="BT27" s="23">
        <f t="shared" si="57"/>
        <v>361972.39191174397</v>
      </c>
      <c r="BU27" s="23">
        <f t="shared" si="57"/>
        <v>369211.83974997886</v>
      </c>
      <c r="BV27" s="23">
        <f t="shared" si="57"/>
        <v>376596.07654497842</v>
      </c>
      <c r="BW27" s="23">
        <f t="shared" si="57"/>
        <v>384127.99807587801</v>
      </c>
      <c r="BX27" s="23">
        <f t="shared" si="57"/>
        <v>391810.55803739559</v>
      </c>
      <c r="BY27" s="23">
        <f t="shared" si="57"/>
        <v>399646.76919814351</v>
      </c>
      <c r="BZ27" s="23">
        <f t="shared" si="57"/>
        <v>407639.70458210638</v>
      </c>
      <c r="CA27" s="23">
        <f t="shared" ref="CA27:DF27" si="58">+BZ27*(1+$AW$32)</f>
        <v>415792.49867374852</v>
      </c>
      <c r="CB27" s="23">
        <f t="shared" si="58"/>
        <v>424108.34864722349</v>
      </c>
      <c r="CC27" s="23">
        <f t="shared" si="58"/>
        <v>432590.51562016795</v>
      </c>
      <c r="CD27" s="23">
        <f t="shared" si="58"/>
        <v>441242.32593257132</v>
      </c>
      <c r="CE27" s="23">
        <f t="shared" si="58"/>
        <v>450067.17245122272</v>
      </c>
      <c r="CF27" s="23">
        <f t="shared" si="58"/>
        <v>459068.51590024721</v>
      </c>
      <c r="CG27" s="23">
        <f t="shared" si="58"/>
        <v>468249.88621825218</v>
      </c>
      <c r="CH27" s="23">
        <f t="shared" si="58"/>
        <v>477614.88394261722</v>
      </c>
      <c r="CI27" s="23">
        <f t="shared" si="58"/>
        <v>487167.18162146956</v>
      </c>
      <c r="CJ27" s="23">
        <f t="shared" si="58"/>
        <v>496910.52525389893</v>
      </c>
      <c r="CK27" s="23">
        <f t="shared" si="58"/>
        <v>506848.73575897689</v>
      </c>
      <c r="CL27" s="23">
        <f t="shared" si="58"/>
        <v>516985.71047415643</v>
      </c>
      <c r="CM27" s="23">
        <f t="shared" si="58"/>
        <v>527325.42468363955</v>
      </c>
      <c r="CN27" s="23">
        <f t="shared" si="58"/>
        <v>537871.93317731237</v>
      </c>
      <c r="CO27" s="23">
        <f t="shared" si="58"/>
        <v>548629.3718408586</v>
      </c>
      <c r="CP27" s="23">
        <f t="shared" si="58"/>
        <v>559601.95927767584</v>
      </c>
      <c r="CQ27" s="23">
        <f t="shared" si="58"/>
        <v>570793.99846322939</v>
      </c>
      <c r="CR27" s="23">
        <f t="shared" si="58"/>
        <v>582209.87843249401</v>
      </c>
      <c r="CS27" s="23">
        <f t="shared" si="58"/>
        <v>593854.0760011439</v>
      </c>
      <c r="CT27" s="23">
        <f t="shared" si="58"/>
        <v>605731.15752116684</v>
      </c>
      <c r="CU27" s="23">
        <f t="shared" si="58"/>
        <v>617845.78067159024</v>
      </c>
      <c r="CV27" s="23">
        <f t="shared" si="58"/>
        <v>630202.69628502207</v>
      </c>
      <c r="CW27" s="23">
        <f t="shared" si="58"/>
        <v>642806.75021072256</v>
      </c>
      <c r="CX27" s="23">
        <f t="shared" si="58"/>
        <v>655662.88521493704</v>
      </c>
      <c r="CY27" s="23">
        <f t="shared" si="58"/>
        <v>668776.14291923575</v>
      </c>
      <c r="CZ27" s="23">
        <f t="shared" si="58"/>
        <v>682151.66577762051</v>
      </c>
      <c r="DA27" s="23">
        <f t="shared" si="58"/>
        <v>695794.69909317291</v>
      </c>
      <c r="DB27" s="23">
        <f t="shared" si="58"/>
        <v>709710.59307503642</v>
      </c>
      <c r="DC27" s="23">
        <f t="shared" si="58"/>
        <v>723904.80493653717</v>
      </c>
      <c r="DD27" s="23">
        <f t="shared" si="58"/>
        <v>738382.90103526798</v>
      </c>
      <c r="DE27" s="23">
        <f t="shared" si="58"/>
        <v>753150.55905597331</v>
      </c>
      <c r="DF27" s="23">
        <f t="shared" si="58"/>
        <v>768213.57023709279</v>
      </c>
      <c r="DG27" s="23">
        <f t="shared" ref="DG27:EQ27" si="59">+DF27*(1+$AW$32)</f>
        <v>783577.8416418347</v>
      </c>
      <c r="DH27" s="23">
        <f t="shared" si="59"/>
        <v>799249.39847467141</v>
      </c>
      <c r="DI27" s="23">
        <f t="shared" si="59"/>
        <v>815234.38644416491</v>
      </c>
      <c r="DJ27" s="23">
        <f t="shared" si="59"/>
        <v>831539.07417304826</v>
      </c>
      <c r="DK27" s="23">
        <f t="shared" si="59"/>
        <v>848169.85565650929</v>
      </c>
      <c r="DL27" s="23">
        <f t="shared" si="59"/>
        <v>865133.25276963948</v>
      </c>
      <c r="DM27" s="23">
        <f t="shared" si="59"/>
        <v>882435.91782503226</v>
      </c>
      <c r="DN27" s="23">
        <f t="shared" si="59"/>
        <v>900084.63618153287</v>
      </c>
      <c r="DO27" s="23">
        <f t="shared" si="59"/>
        <v>918086.32890516357</v>
      </c>
      <c r="DP27" s="23">
        <f t="shared" si="59"/>
        <v>936448.05548326683</v>
      </c>
      <c r="DQ27" s="23">
        <f t="shared" si="59"/>
        <v>955177.01659293217</v>
      </c>
      <c r="DR27" s="23">
        <f t="shared" si="59"/>
        <v>974280.55692479084</v>
      </c>
      <c r="DS27" s="23">
        <f t="shared" si="59"/>
        <v>993766.16806328669</v>
      </c>
      <c r="DT27" s="23">
        <f t="shared" si="59"/>
        <v>1013641.4914245524</v>
      </c>
      <c r="DU27" s="23">
        <f t="shared" si="59"/>
        <v>1033914.3212530435</v>
      </c>
      <c r="DV27" s="23">
        <f t="shared" si="59"/>
        <v>1054592.6076781044</v>
      </c>
      <c r="DW27" s="23">
        <f t="shared" si="59"/>
        <v>1075684.4598316664</v>
      </c>
      <c r="DX27" s="23">
        <f t="shared" si="59"/>
        <v>1097198.1490282998</v>
      </c>
      <c r="DY27" s="23">
        <f t="shared" si="59"/>
        <v>1119142.1120088659</v>
      </c>
      <c r="DZ27" s="23">
        <f t="shared" si="59"/>
        <v>1141524.9542490433</v>
      </c>
      <c r="EA27" s="23">
        <f t="shared" si="59"/>
        <v>1164355.4533340242</v>
      </c>
      <c r="EB27" s="23">
        <f t="shared" si="59"/>
        <v>1187642.5624007047</v>
      </c>
      <c r="EC27" s="23">
        <f t="shared" si="59"/>
        <v>1211395.4136487187</v>
      </c>
      <c r="ED27" s="23">
        <f t="shared" si="59"/>
        <v>1235623.3219216932</v>
      </c>
      <c r="EE27" s="23">
        <f t="shared" si="59"/>
        <v>1260335.788360127</v>
      </c>
      <c r="EF27" s="23">
        <f t="shared" si="59"/>
        <v>1285542.5041273297</v>
      </c>
      <c r="EG27" s="23">
        <f t="shared" si="59"/>
        <v>1311253.3542098764</v>
      </c>
      <c r="EH27" s="23">
        <f t="shared" si="59"/>
        <v>1337478.421294074</v>
      </c>
      <c r="EI27" s="23">
        <f t="shared" si="59"/>
        <v>1364227.9897199555</v>
      </c>
      <c r="EJ27" s="23">
        <f t="shared" si="59"/>
        <v>1391512.5495143547</v>
      </c>
      <c r="EK27" s="23">
        <f t="shared" si="59"/>
        <v>1419342.8005046418</v>
      </c>
      <c r="EL27" s="23">
        <f t="shared" si="59"/>
        <v>1447729.6565147347</v>
      </c>
      <c r="EM27" s="23">
        <f t="shared" si="59"/>
        <v>1476684.2496450294</v>
      </c>
      <c r="EN27" s="23">
        <f t="shared" si="59"/>
        <v>1506217.93463793</v>
      </c>
      <c r="EO27" s="23">
        <f t="shared" si="59"/>
        <v>1536342.2933306887</v>
      </c>
      <c r="EP27" s="23">
        <f t="shared" si="59"/>
        <v>1567069.1391973025</v>
      </c>
      <c r="EQ27" s="23">
        <f t="shared" si="59"/>
        <v>1598410.5219812486</v>
      </c>
    </row>
    <row r="28" spans="2:147" s="25" customFormat="1" x14ac:dyDescent="0.2">
      <c r="B28" s="25" t="s">
        <v>19</v>
      </c>
      <c r="C28" s="25">
        <f t="shared" ref="C28" si="60">+C27/C29</f>
        <v>26.287585896482916</v>
      </c>
      <c r="D28" s="25">
        <f t="shared" ref="D28:E28" si="61">+D27/D29</f>
        <v>27.159929098290352</v>
      </c>
      <c r="E28" s="25">
        <f t="shared" si="61"/>
        <v>27.990344690984287</v>
      </c>
      <c r="F28" s="25">
        <f t="shared" ref="F28" si="62">+F27/F29</f>
        <v>30.69474329100823</v>
      </c>
      <c r="G28" s="25">
        <f t="shared" ref="G28:O28" si="63">+G27/G29</f>
        <v>1.241483495732306</v>
      </c>
      <c r="H28" s="25">
        <f t="shared" si="63"/>
        <v>1.2087015635622025</v>
      </c>
      <c r="I28" s="25">
        <f t="shared" si="63"/>
        <v>1.0620752844162786</v>
      </c>
      <c r="J28" s="25">
        <f t="shared" si="63"/>
        <v>1.0522901058160192</v>
      </c>
      <c r="K28" s="25">
        <f t="shared" si="63"/>
        <v>1.1737502924432659</v>
      </c>
      <c r="L28" s="25">
        <f t="shared" si="63"/>
        <v>1.439047320589157</v>
      </c>
      <c r="M28" s="25">
        <f t="shared" si="63"/>
        <v>1.5508034026465027</v>
      </c>
      <c r="N28" s="25">
        <f t="shared" si="63"/>
        <v>1.6415648309792097</v>
      </c>
      <c r="O28" s="25">
        <f t="shared" si="63"/>
        <v>1.8888800191586175</v>
      </c>
      <c r="P28" s="25">
        <f t="shared" ref="P28:R28" si="64">+P27/P29</f>
        <v>1.8902761104441776</v>
      </c>
      <c r="Q28" s="25">
        <f t="shared" si="64"/>
        <v>2.1049219687875151</v>
      </c>
      <c r="R28" s="25">
        <f t="shared" si="64"/>
        <v>2.1490119857466796</v>
      </c>
      <c r="AC28" s="25">
        <f t="shared" ref="AC28:AH28" si="65">+AC27/AC29</f>
        <v>50.913925364539274</v>
      </c>
      <c r="AD28" s="25">
        <f t="shared" si="65"/>
        <v>51.592141503329721</v>
      </c>
      <c r="AE28" s="25">
        <f t="shared" si="65"/>
        <v>58.613331625494155</v>
      </c>
      <c r="AF28" s="25">
        <f t="shared" si="65"/>
        <v>112.09536944825101</v>
      </c>
      <c r="AG28" s="25">
        <f t="shared" si="65"/>
        <v>4.5673812878412852</v>
      </c>
      <c r="AH28" s="25">
        <f t="shared" si="65"/>
        <v>5.8009236513707378</v>
      </c>
      <c r="AI28" s="25">
        <f t="shared" ref="AI28:AT28" si="66">+AI27/AI29</f>
        <v>8.0311240348942139</v>
      </c>
      <c r="AJ28" s="25">
        <f t="shared" si="66"/>
        <v>7.9420403250392217</v>
      </c>
      <c r="AK28" s="25">
        <f t="shared" si="66"/>
        <v>8.7592560791778844</v>
      </c>
      <c r="AL28" s="25">
        <f t="shared" si="66"/>
        <v>9.6404559179275147</v>
      </c>
      <c r="AM28" s="25">
        <f t="shared" si="66"/>
        <v>10.58908327324265</v>
      </c>
      <c r="AN28" s="25">
        <f t="shared" si="66"/>
        <v>11.608532105908218</v>
      </c>
      <c r="AO28" s="25">
        <f t="shared" si="66"/>
        <v>12.702091995313056</v>
      </c>
      <c r="AP28" s="25">
        <f t="shared" si="66"/>
        <v>13.87288144938106</v>
      </c>
      <c r="AQ28" s="25">
        <f t="shared" si="66"/>
        <v>15.123767461795921</v>
      </c>
      <c r="AR28" s="25">
        <f t="shared" si="66"/>
        <v>16.457269045170921</v>
      </c>
      <c r="AS28" s="25">
        <f t="shared" si="66"/>
        <v>17.875442127504897</v>
      </c>
      <c r="AT28" s="25">
        <f t="shared" si="66"/>
        <v>19.379742809174761</v>
      </c>
    </row>
    <row r="29" spans="2:147" x14ac:dyDescent="0.2">
      <c r="B29" s="15" t="s">
        <v>1</v>
      </c>
      <c r="C29" s="24">
        <v>682.07100000000003</v>
      </c>
      <c r="D29" s="24">
        <v>682.07100000000003</v>
      </c>
      <c r="E29" s="24">
        <v>676.51900000000001</v>
      </c>
      <c r="F29" s="24">
        <v>672.49300000000005</v>
      </c>
      <c r="G29" s="24">
        <v>13239</v>
      </c>
      <c r="H29" s="24">
        <v>13239</v>
      </c>
      <c r="I29" s="24">
        <v>13097</v>
      </c>
      <c r="J29" s="24">
        <v>12947</v>
      </c>
      <c r="K29" s="24">
        <v>12823</v>
      </c>
      <c r="L29" s="24">
        <v>12764</v>
      </c>
      <c r="M29" s="24">
        <v>12696</v>
      </c>
      <c r="N29" s="24">
        <v>12602</v>
      </c>
      <c r="O29" s="24">
        <v>12527</v>
      </c>
      <c r="P29" s="24">
        <v>12495</v>
      </c>
      <c r="Q29" s="24">
        <v>12495</v>
      </c>
      <c r="R29" s="24">
        <v>12348</v>
      </c>
      <c r="V29" s="26"/>
      <c r="AC29" s="24">
        <v>703.28499999999997</v>
      </c>
      <c r="AD29" s="24">
        <v>698.55600000000004</v>
      </c>
      <c r="AE29" s="24">
        <v>687.02800000000002</v>
      </c>
      <c r="AF29" s="24">
        <f>+AVERAGE(C29:F29)</f>
        <v>678.2885</v>
      </c>
      <c r="AG29" s="24">
        <f>AVERAGE(G29:J29)</f>
        <v>13130.5</v>
      </c>
      <c r="AH29" s="24">
        <f>+AVERAGE(K29:N29)</f>
        <v>12721.25</v>
      </c>
      <c r="AI29" s="24">
        <f>+AVERAGE(O29:R29)</f>
        <v>12466.25</v>
      </c>
      <c r="AJ29" s="24">
        <f t="shared" ref="AJ29:AT29" si="67">+AI29*0.99</f>
        <v>12341.5875</v>
      </c>
      <c r="AK29" s="24">
        <f t="shared" si="67"/>
        <v>12218.171624999999</v>
      </c>
      <c r="AL29" s="24">
        <f t="shared" si="67"/>
        <v>12095.98990875</v>
      </c>
      <c r="AM29" s="24">
        <f t="shared" si="67"/>
        <v>11975.0300096625</v>
      </c>
      <c r="AN29" s="24">
        <f t="shared" si="67"/>
        <v>11855.279709565875</v>
      </c>
      <c r="AO29" s="24">
        <f t="shared" si="67"/>
        <v>11736.726912470216</v>
      </c>
      <c r="AP29" s="24">
        <f t="shared" si="67"/>
        <v>11619.359643345513</v>
      </c>
      <c r="AQ29" s="24">
        <f t="shared" si="67"/>
        <v>11503.166046912058</v>
      </c>
      <c r="AR29" s="24">
        <f t="shared" si="67"/>
        <v>11388.134386442936</v>
      </c>
      <c r="AS29" s="24">
        <f t="shared" si="67"/>
        <v>11274.253042578506</v>
      </c>
      <c r="AT29" s="24">
        <f t="shared" si="67"/>
        <v>11161.510512152721</v>
      </c>
    </row>
    <row r="30" spans="2:147" x14ac:dyDescent="0.2">
      <c r="C30" s="24"/>
      <c r="D30" s="24"/>
      <c r="E30" s="24"/>
      <c r="F30" s="24"/>
      <c r="V30" s="26"/>
    </row>
    <row r="31" spans="2:147" x14ac:dyDescent="0.2">
      <c r="B31" s="75" t="s">
        <v>173</v>
      </c>
      <c r="C31" s="24"/>
      <c r="D31" s="24"/>
      <c r="E31" s="24"/>
      <c r="F31" s="24"/>
      <c r="R31" s="24">
        <f>147/SUM(O28:R28)</f>
        <v>18.299309289495223</v>
      </c>
      <c r="V31" s="26"/>
    </row>
    <row r="32" spans="2:147" x14ac:dyDescent="0.2">
      <c r="C32" s="24"/>
      <c r="D32" s="24"/>
      <c r="E32" s="24"/>
      <c r="F32" s="24"/>
      <c r="AV32" s="64" t="s">
        <v>158</v>
      </c>
      <c r="AW32" s="27">
        <v>0.02</v>
      </c>
    </row>
    <row r="33" spans="2:49" s="27" customFormat="1" x14ac:dyDescent="0.2">
      <c r="B33" s="27" t="s">
        <v>20</v>
      </c>
      <c r="C33" s="27">
        <f t="shared" ref="C33" si="68">+C18/C16</f>
        <v>0.56425136493473627</v>
      </c>
      <c r="D33" s="27">
        <f t="shared" ref="D33:E33" si="69">+D18/D16</f>
        <v>0.57616354234001288</v>
      </c>
      <c r="E33" s="27">
        <f t="shared" si="69"/>
        <v>0.57583156730857832</v>
      </c>
      <c r="F33" s="27">
        <f t="shared" ref="F33" si="70">+F18/F16</f>
        <v>0.56205774975107869</v>
      </c>
      <c r="G33" s="27">
        <f t="shared" ref="G33:O33" si="71">+G18/G16</f>
        <v>0.5647909896928438</v>
      </c>
      <c r="H33" s="27">
        <f t="shared" si="71"/>
        <v>0.56799885197675248</v>
      </c>
      <c r="I33" s="27">
        <f t="shared" si="71"/>
        <v>0.54903606785156023</v>
      </c>
      <c r="J33" s="27">
        <f t="shared" si="71"/>
        <v>0.53526719966337055</v>
      </c>
      <c r="K33" s="27">
        <f t="shared" si="71"/>
        <v>0.56135096794531936</v>
      </c>
      <c r="L33" s="27">
        <f t="shared" si="71"/>
        <v>0.5721945204010509</v>
      </c>
      <c r="M33" s="27">
        <f t="shared" si="71"/>
        <v>0.56672708069836886</v>
      </c>
      <c r="N33" s="27">
        <f t="shared" si="71"/>
        <v>0.56465067778936395</v>
      </c>
      <c r="O33" s="27">
        <f t="shared" si="71"/>
        <v>0.58142018152696207</v>
      </c>
      <c r="P33" s="27">
        <f t="shared" ref="P33:Q33" si="72">+P18/P16</f>
        <v>0.58099879634655782</v>
      </c>
      <c r="Q33" s="27">
        <f t="shared" si="72"/>
        <v>0.58678116644763678</v>
      </c>
      <c r="R33" s="27">
        <f t="shared" ref="R33" si="73">+R18/R16</f>
        <v>0.5790046543449191</v>
      </c>
      <c r="X33" s="27">
        <f t="shared" ref="X33:Y33" si="74">+X18/X16</f>
        <v>0.60386534339595455</v>
      </c>
      <c r="Y33" s="27">
        <f t="shared" si="74"/>
        <v>0.6107483219951213</v>
      </c>
      <c r="Z33" s="27">
        <f t="shared" ref="Z33:AA33" si="75">+Z18/Z16</f>
        <v>0.62442491565429592</v>
      </c>
      <c r="AA33" s="27">
        <f t="shared" si="75"/>
        <v>0.61075416518964909</v>
      </c>
      <c r="AB33" s="27">
        <f t="shared" ref="AB33:AC33" si="76">+AB18/AB16</f>
        <v>0.58880519597672631</v>
      </c>
      <c r="AC33" s="27">
        <f t="shared" si="76"/>
        <v>0.5647607422945643</v>
      </c>
      <c r="AD33" s="27">
        <f t="shared" ref="AD33:AE33" si="77">+AD18/AD16</f>
        <v>0.5558054331910266</v>
      </c>
      <c r="AE33" s="27">
        <f t="shared" si="77"/>
        <v>0.53578374706207854</v>
      </c>
      <c r="AF33" s="27">
        <f t="shared" ref="AF33:AG33" si="78">+AF18/AF16</f>
        <v>0.5693980290098084</v>
      </c>
      <c r="AG33" s="27">
        <f t="shared" si="78"/>
        <v>0.55379442503783116</v>
      </c>
      <c r="AH33" s="27">
        <f>+AH18/AH16</f>
        <v>0.56625047984020505</v>
      </c>
      <c r="AI33" s="27">
        <f t="shared" ref="AI33:AT33" si="79">+AI18/AI16</f>
        <v>0.58200435406179107</v>
      </c>
      <c r="AJ33" s="27">
        <f t="shared" si="79"/>
        <v>0.58200435406179107</v>
      </c>
      <c r="AK33" s="27">
        <f t="shared" si="79"/>
        <v>0.58200435406179107</v>
      </c>
      <c r="AL33" s="27">
        <f t="shared" si="79"/>
        <v>0.58200435406179107</v>
      </c>
      <c r="AM33" s="27">
        <f t="shared" si="79"/>
        <v>0.58200435406179107</v>
      </c>
      <c r="AN33" s="27">
        <f t="shared" si="79"/>
        <v>0.58200435406179107</v>
      </c>
      <c r="AO33" s="27">
        <f t="shared" si="79"/>
        <v>0.58200435406179107</v>
      </c>
      <c r="AP33" s="27">
        <f t="shared" si="79"/>
        <v>0.58200435406179107</v>
      </c>
      <c r="AQ33" s="27">
        <f t="shared" si="79"/>
        <v>0.58200435406179107</v>
      </c>
      <c r="AR33" s="27">
        <f t="shared" si="79"/>
        <v>0.58200435406179107</v>
      </c>
      <c r="AS33" s="27">
        <f t="shared" si="79"/>
        <v>0.58200435406179107</v>
      </c>
      <c r="AT33" s="27">
        <f t="shared" si="79"/>
        <v>0.58200435406179107</v>
      </c>
      <c r="AV33" s="64" t="s">
        <v>159</v>
      </c>
      <c r="AW33" s="27">
        <v>0.08</v>
      </c>
    </row>
    <row r="34" spans="2:49" s="27" customFormat="1" x14ac:dyDescent="0.2">
      <c r="B34" s="27" t="s">
        <v>21</v>
      </c>
      <c r="C34" s="27">
        <f t="shared" ref="C34" si="80">+C23/C16</f>
        <v>0.29715804317171057</v>
      </c>
      <c r="D34" s="27">
        <f t="shared" ref="D34:E34" si="81">+D23/D16</f>
        <v>0.312879767291532</v>
      </c>
      <c r="E34" s="27">
        <f t="shared" si="81"/>
        <v>0.32296753585798088</v>
      </c>
      <c r="F34" s="27">
        <f t="shared" ref="F34" si="82">+F23/F16</f>
        <v>0.29054098904746101</v>
      </c>
      <c r="G34" s="27">
        <f t="shared" ref="G34:O34" si="83">+G23/G16</f>
        <v>0.29545220626075192</v>
      </c>
      <c r="H34" s="27">
        <f t="shared" si="83"/>
        <v>0.279156202913109</v>
      </c>
      <c r="I34" s="27">
        <f t="shared" si="83"/>
        <v>0.24800266311584554</v>
      </c>
      <c r="J34" s="27">
        <f t="shared" si="83"/>
        <v>0.23879654954765411</v>
      </c>
      <c r="K34" s="27">
        <f t="shared" si="83"/>
        <v>0.24954504420594092</v>
      </c>
      <c r="L34" s="27">
        <f t="shared" si="83"/>
        <v>0.29271888906761029</v>
      </c>
      <c r="M34" s="27">
        <f t="shared" si="83"/>
        <v>0.27829136948613303</v>
      </c>
      <c r="N34" s="27">
        <f t="shared" si="83"/>
        <v>0.27455683003128256</v>
      </c>
      <c r="O34" s="27">
        <f t="shared" si="83"/>
        <v>0.31626913669154072</v>
      </c>
      <c r="P34" s="27">
        <f t="shared" ref="P34:Q34" si="84">+P23/P16</f>
        <v>0.32362936914398999</v>
      </c>
      <c r="Q34" s="27">
        <f t="shared" si="84"/>
        <v>0.32311823084243441</v>
      </c>
      <c r="R34" s="27">
        <f t="shared" ref="R34" si="85">+R23/R16</f>
        <v>0.32105650519856122</v>
      </c>
      <c r="X34" s="27">
        <f t="shared" ref="X34:Y34" si="86">+X23/X16</f>
        <v>0.27743655325203986</v>
      </c>
      <c r="Y34" s="27">
        <f t="shared" si="86"/>
        <v>0.24993560703625703</v>
      </c>
      <c r="Z34" s="27">
        <f t="shared" ref="Z34:AA34" si="87">+Z23/Z16</f>
        <v>0.25817119844243824</v>
      </c>
      <c r="AA34" s="27">
        <f t="shared" si="87"/>
        <v>0.26271712158808935</v>
      </c>
      <c r="AB34" s="27">
        <f t="shared" ref="AB34:AC34" si="88">+AB23/AB16</f>
        <v>0.26053854133778359</v>
      </c>
      <c r="AC34" s="27">
        <f t="shared" si="88"/>
        <v>0.22944181729145804</v>
      </c>
      <c r="AD34" s="27">
        <f t="shared" ref="AD34:AE34" si="89">+AD23/AD16</f>
        <v>0.22197371754079218</v>
      </c>
      <c r="AE34" s="27">
        <f t="shared" si="89"/>
        <v>0.22585151785763202</v>
      </c>
      <c r="AF34" s="27">
        <f t="shared" ref="AF34:AG34" si="90">+AF23/AF16</f>
        <v>0.3055228868524319</v>
      </c>
      <c r="AG34" s="27">
        <f t="shared" si="90"/>
        <v>0.26461270842467011</v>
      </c>
      <c r="AH34" s="27">
        <f>+AH23/AH16</f>
        <v>0.27421810445226646</v>
      </c>
      <c r="AI34" s="27">
        <f t="shared" ref="AI34:AT34" si="91">+AI23/AI16</f>
        <v>0.32109777211457696</v>
      </c>
      <c r="AJ34" s="27">
        <f t="shared" si="91"/>
        <v>0.31847557892789852</v>
      </c>
      <c r="AK34" s="27">
        <f t="shared" si="91"/>
        <v>0.31560155173991006</v>
      </c>
      <c r="AL34" s="27">
        <f t="shared" si="91"/>
        <v>0.3124699042103421</v>
      </c>
      <c r="AM34" s="27">
        <f t="shared" si="91"/>
        <v>0.30907455134830197</v>
      </c>
      <c r="AN34" s="27">
        <f t="shared" si="91"/>
        <v>0.30540910053442716</v>
      </c>
      <c r="AO34" s="27">
        <f t="shared" si="91"/>
        <v>0.30146684215746228</v>
      </c>
      <c r="AP34" s="27">
        <f t="shared" si="91"/>
        <v>0.29724073985236549</v>
      </c>
      <c r="AQ34" s="27">
        <f t="shared" si="91"/>
        <v>0.29272342032653237</v>
      </c>
      <c r="AR34" s="27">
        <f t="shared" si="91"/>
        <v>0.28790716276019779</v>
      </c>
      <c r="AS34" s="27">
        <f t="shared" si="91"/>
        <v>0.28278388776651786</v>
      </c>
      <c r="AT34" s="27">
        <f t="shared" si="91"/>
        <v>0.27734514589627141</v>
      </c>
      <c r="AV34" s="27" t="s">
        <v>119</v>
      </c>
      <c r="AW34" s="27">
        <v>0.03</v>
      </c>
    </row>
    <row r="35" spans="2:49" s="27" customFormat="1" x14ac:dyDescent="0.2">
      <c r="B35" s="27" t="s">
        <v>22</v>
      </c>
      <c r="C35" s="27">
        <f t="shared" ref="C35" si="92">+C27/C16</f>
        <v>0.32414940159814876</v>
      </c>
      <c r="D35" s="27">
        <f t="shared" ref="D35:E35" si="93">+D27/D16</f>
        <v>0.29936974789915966</v>
      </c>
      <c r="E35" s="27">
        <f t="shared" si="93"/>
        <v>0.29079517184188702</v>
      </c>
      <c r="F35" s="27">
        <f t="shared" ref="F35" si="94">+F27/F16</f>
        <v>0.2740391636242947</v>
      </c>
      <c r="G35" s="27">
        <f t="shared" ref="G35:O35" si="95">+G27/G16</f>
        <v>0.24166678919586537</v>
      </c>
      <c r="H35" s="27">
        <f t="shared" si="95"/>
        <v>0.22963335007533903</v>
      </c>
      <c r="I35" s="27">
        <f t="shared" si="95"/>
        <v>0.20132576854049672</v>
      </c>
      <c r="J35" s="27">
        <f t="shared" si="95"/>
        <v>0.17915001051967178</v>
      </c>
      <c r="K35" s="27">
        <f t="shared" si="95"/>
        <v>0.21567054035851949</v>
      </c>
      <c r="L35" s="27">
        <f t="shared" si="95"/>
        <v>0.2462066377137955</v>
      </c>
      <c r="M35" s="27">
        <f t="shared" si="95"/>
        <v>0.25672486406842865</v>
      </c>
      <c r="N35" s="27">
        <f t="shared" si="95"/>
        <v>0.23968253968253969</v>
      </c>
      <c r="O35" s="27">
        <f t="shared" si="95"/>
        <v>0.29379555246526529</v>
      </c>
      <c r="P35" s="27">
        <f t="shared" ref="P35:Q35" si="96">+P27/P16</f>
        <v>0.27871657501593072</v>
      </c>
      <c r="Q35" s="27">
        <f t="shared" si="96"/>
        <v>0.29796755336022113</v>
      </c>
      <c r="R35" s="27">
        <f t="shared" ref="R35" si="97">+R27/R16</f>
        <v>0.27507282132083882</v>
      </c>
      <c r="X35" s="27">
        <f t="shared" ref="X35:Y35" si="98">+X27/X16</f>
        <v>0.23703596966804158</v>
      </c>
      <c r="Y35" s="27">
        <f t="shared" si="98"/>
        <v>0.20636050968924713</v>
      </c>
      <c r="Z35" s="27">
        <f t="shared" ref="Z35:AA35" si="99">+Z27/Z16</f>
        <v>0.21800530744509194</v>
      </c>
      <c r="AA35" s="27">
        <f t="shared" si="99"/>
        <v>0.2157701169797944</v>
      </c>
      <c r="AB35" s="27">
        <f t="shared" ref="AB35:AC35" si="100">+AB27/AB16</f>
        <v>0.13890216950069911</v>
      </c>
      <c r="AC35" s="27">
        <f t="shared" si="100"/>
        <v>0.26171072731126527</v>
      </c>
      <c r="AD35" s="27">
        <f t="shared" ref="AD35:AE35" si="101">+AD27/AD16</f>
        <v>0.22266568637748135</v>
      </c>
      <c r="AE35" s="27">
        <f t="shared" si="101"/>
        <v>0.22061941520980458</v>
      </c>
      <c r="AF35" s="27">
        <f t="shared" ref="AF35:AG35" si="102">+AF27/AF16</f>
        <v>0.29511677282377918</v>
      </c>
      <c r="AG35" s="27">
        <f t="shared" si="102"/>
        <v>0.21203807153261961</v>
      </c>
      <c r="AH35" s="27">
        <f>+AH27/AH16</f>
        <v>0.24006649446638517</v>
      </c>
      <c r="AI35" s="27">
        <f t="shared" ref="AI35:AT35" si="103">+AI27/AI16</f>
        <v>0.28603671811164</v>
      </c>
      <c r="AJ35" s="27">
        <f t="shared" si="103"/>
        <v>0.25929191789713246</v>
      </c>
      <c r="AK35" s="27">
        <f t="shared" si="103"/>
        <v>0.26214136383587588</v>
      </c>
      <c r="AL35" s="27">
        <f t="shared" si="103"/>
        <v>0.2644705653301121</v>
      </c>
      <c r="AM35" s="27">
        <f t="shared" si="103"/>
        <v>0.26628675982651551</v>
      </c>
      <c r="AN35" s="27">
        <f t="shared" si="103"/>
        <v>0.26759620837520243</v>
      </c>
      <c r="AO35" s="27">
        <f t="shared" si="103"/>
        <v>0.26840422112985562</v>
      </c>
      <c r="AP35" s="27">
        <f t="shared" si="103"/>
        <v>0.26871518065581135</v>
      </c>
      <c r="AQ35" s="27">
        <f t="shared" si="103"/>
        <v>0.26853256312646545</v>
      </c>
      <c r="AR35" s="27">
        <f t="shared" si="103"/>
        <v>0.26785895748296568</v>
      </c>
      <c r="AS35" s="27">
        <f t="shared" si="103"/>
        <v>0.26669608262698957</v>
      </c>
      <c r="AT35" s="27">
        <f t="shared" si="103"/>
        <v>0.26504480271148045</v>
      </c>
      <c r="AV35" s="27" t="s">
        <v>120</v>
      </c>
      <c r="AW35" s="30">
        <f>NPV(AW33,AI27:EQ27)-Main!L8+Main!L7</f>
        <v>2619169.355210213</v>
      </c>
    </row>
    <row r="36" spans="2:49" s="27" customFormat="1" x14ac:dyDescent="0.2">
      <c r="B36" s="27" t="s">
        <v>23</v>
      </c>
      <c r="C36" s="27">
        <f t="shared" ref="C36" si="104">+C26/C25</f>
        <v>0.15754357938260583</v>
      </c>
      <c r="D36" s="27">
        <f t="shared" ref="D36:E36" si="105">+D26/D25</f>
        <v>0.15738003183989083</v>
      </c>
      <c r="E36" s="27">
        <f t="shared" si="105"/>
        <v>0.17898022892819979</v>
      </c>
      <c r="F36" s="27">
        <f t="shared" ref="F36" si="106">+F26/F25</f>
        <v>0.15408573067781328</v>
      </c>
      <c r="G36" s="27">
        <f t="shared" ref="G36:O36" si="107">+G26/G25</f>
        <v>0.13193197422625963</v>
      </c>
      <c r="H36" s="27">
        <f t="shared" si="107"/>
        <v>0.15840959293152415</v>
      </c>
      <c r="I36" s="27">
        <f t="shared" si="107"/>
        <v>0.14310355448777182</v>
      </c>
      <c r="J36" s="27">
        <f t="shared" si="107"/>
        <v>0.20545868081880211</v>
      </c>
      <c r="K36" s="27">
        <f t="shared" si="107"/>
        <v>0.17324910738808019</v>
      </c>
      <c r="L36" s="27">
        <f t="shared" si="107"/>
        <v>0.16139341642697347</v>
      </c>
      <c r="M36" s="27">
        <f t="shared" si="107"/>
        <v>7.1142142756050381E-2</v>
      </c>
      <c r="N36" s="27">
        <f t="shared" si="107"/>
        <v>0.15258889070948714</v>
      </c>
      <c r="O36" s="27">
        <f t="shared" si="107"/>
        <v>0.16432986049796927</v>
      </c>
      <c r="P36" s="27">
        <f t="shared" ref="P36:Q36" si="108">+P26/P25</f>
        <v>0.14271714275343908</v>
      </c>
      <c r="Q36" s="27">
        <f t="shared" si="108"/>
        <v>0.17047246577934777</v>
      </c>
      <c r="R36" s="27">
        <f t="shared" ref="R36" si="109">+R26/R25</f>
        <v>0.17699965884067859</v>
      </c>
      <c r="X36" s="27">
        <f t="shared" ref="X36:Y36" si="110">+X26/X25</f>
        <v>0.17227498584816656</v>
      </c>
      <c r="Y36" s="27">
        <f t="shared" si="110"/>
        <v>0.21084651486181122</v>
      </c>
      <c r="Z36" s="27">
        <f t="shared" ref="Z36:AA36" si="111">+Z26/Z25</f>
        <v>0.16808304920869166</v>
      </c>
      <c r="AA36" s="27">
        <f t="shared" si="111"/>
        <v>0.19345755693581781</v>
      </c>
      <c r="AB36" s="27">
        <f t="shared" ref="AB36:AC36" si="112">+AB26/AB25</f>
        <v>0.48551572053860803</v>
      </c>
      <c r="AC36" s="27">
        <f t="shared" si="112"/>
        <v>0.10446678671468587</v>
      </c>
      <c r="AD36" s="27">
        <f t="shared" ref="AD36:AE36" si="113">+AD26/AD25</f>
        <v>0.12782537147282319</v>
      </c>
      <c r="AE36" s="27">
        <f t="shared" si="113"/>
        <v>0.16249324071378063</v>
      </c>
      <c r="AF36" s="27">
        <f t="shared" ref="AF36:AG36" si="114">+AF26/AF25</f>
        <v>0.16202305640663919</v>
      </c>
      <c r="AG36" s="27">
        <f t="shared" si="114"/>
        <v>0.1592081650964558</v>
      </c>
      <c r="AH36" s="27">
        <f>+AH26/AH25</f>
        <v>0.13908559562280529</v>
      </c>
      <c r="AI36" s="27">
        <f>+AI26/AI25</f>
        <v>0.16439510912657013</v>
      </c>
      <c r="AJ36" s="27">
        <f t="shared" ref="AJ36:AT36" si="115">+AJ26/AJ25</f>
        <v>0.21</v>
      </c>
      <c r="AK36" s="27">
        <f t="shared" si="115"/>
        <v>0.21</v>
      </c>
      <c r="AL36" s="27">
        <f t="shared" si="115"/>
        <v>0.21</v>
      </c>
      <c r="AM36" s="27">
        <f t="shared" si="115"/>
        <v>0.21000000000000002</v>
      </c>
      <c r="AN36" s="27">
        <f t="shared" si="115"/>
        <v>0.21</v>
      </c>
      <c r="AO36" s="27">
        <f t="shared" si="115"/>
        <v>0.21000000000000002</v>
      </c>
      <c r="AP36" s="27">
        <f t="shared" si="115"/>
        <v>0.21</v>
      </c>
      <c r="AQ36" s="27">
        <f t="shared" si="115"/>
        <v>0.21</v>
      </c>
      <c r="AR36" s="27">
        <f t="shared" si="115"/>
        <v>0.21</v>
      </c>
      <c r="AS36" s="27">
        <f t="shared" si="115"/>
        <v>0.21</v>
      </c>
      <c r="AT36" s="27">
        <f t="shared" si="115"/>
        <v>0.21</v>
      </c>
      <c r="AV36" s="64" t="s">
        <v>152</v>
      </c>
      <c r="AW36" s="25">
        <f>+AW35/Main!L5</f>
        <v>212.11284055800235</v>
      </c>
    </row>
    <row r="37" spans="2:49" s="27" customFormat="1" x14ac:dyDescent="0.2">
      <c r="C37" s="28"/>
      <c r="D37" s="28"/>
      <c r="E37" s="28"/>
      <c r="F37" s="28"/>
      <c r="AV37" s="64" t="s">
        <v>153</v>
      </c>
      <c r="AW37" s="25">
        <f>+Main!L4</f>
        <v>147.74</v>
      </c>
    </row>
    <row r="38" spans="2:49" s="26" customFormat="1" x14ac:dyDescent="0.2">
      <c r="B38" s="26" t="s">
        <v>24</v>
      </c>
      <c r="C38" s="29"/>
      <c r="D38" s="29"/>
      <c r="E38" s="29"/>
      <c r="F38" s="29"/>
      <c r="G38" s="26">
        <f t="shared" ref="G38" si="116">+G16/C16-1</f>
        <v>0.22954405756228069</v>
      </c>
      <c r="H38" s="26">
        <f t="shared" ref="H38" si="117">+H16/D16-1</f>
        <v>0.12613122171945701</v>
      </c>
      <c r="I38" s="26">
        <f t="shared" ref="I38" si="118">+I16/E16-1</f>
        <v>6.1027672840074931E-2</v>
      </c>
      <c r="J38" s="26">
        <f t="shared" ref="J38" si="119">+J16/F16-1</f>
        <v>9.5984069034185104E-3</v>
      </c>
      <c r="K38" s="26">
        <f t="shared" ref="K38:R38" si="120">+K16/G16-1</f>
        <v>2.6113422828660138E-2</v>
      </c>
      <c r="L38" s="26">
        <f t="shared" si="120"/>
        <v>7.0589079428858392E-2</v>
      </c>
      <c r="M38" s="26">
        <f t="shared" si="120"/>
        <v>0.11001273664100042</v>
      </c>
      <c r="N38" s="26">
        <f t="shared" si="120"/>
        <v>0.13494108983799702</v>
      </c>
      <c r="O38" s="26">
        <f t="shared" si="120"/>
        <v>0.15406880937710454</v>
      </c>
      <c r="P38" s="26">
        <f t="shared" si="120"/>
        <v>0.13589083695244231</v>
      </c>
      <c r="Q38" s="26">
        <f t="shared" si="120"/>
        <v>0.15092642092498654</v>
      </c>
      <c r="R38" s="26">
        <f t="shared" si="120"/>
        <v>0.11770362646275045</v>
      </c>
      <c r="Y38" s="26">
        <f t="shared" ref="Y38:AI38" si="121">+Y16/X16-1</f>
        <v>0.18880023055170292</v>
      </c>
      <c r="Z38" s="26">
        <f t="shared" si="121"/>
        <v>0.13617975485219924</v>
      </c>
      <c r="AA38" s="26">
        <f t="shared" si="121"/>
        <v>0.20380322447292265</v>
      </c>
      <c r="AB38" s="26">
        <f t="shared" si="121"/>
        <v>0.22801090038993266</v>
      </c>
      <c r="AC38" s="26">
        <f t="shared" si="121"/>
        <v>0.23421586757475987</v>
      </c>
      <c r="AD38" s="26">
        <f t="shared" si="121"/>
        <v>0.18300089899794614</v>
      </c>
      <c r="AE38" s="26">
        <f t="shared" si="121"/>
        <v>0.12770532012826141</v>
      </c>
      <c r="AF38" s="26">
        <f t="shared" si="121"/>
        <v>0.41150076427049154</v>
      </c>
      <c r="AG38" s="26">
        <f t="shared" si="121"/>
        <v>9.7808156437157789E-2</v>
      </c>
      <c r="AH38" s="26">
        <f t="shared" si="121"/>
        <v>8.6827702272695095E-2</v>
      </c>
      <c r="AI38" s="26">
        <f t="shared" si="121"/>
        <v>0.13866243322901561</v>
      </c>
      <c r="AJ38" s="26">
        <f t="shared" ref="AJ38:AT38" si="122">+AJ16/AI16-1</f>
        <v>8.0000000000000071E-2</v>
      </c>
      <c r="AK38" s="26">
        <f t="shared" si="122"/>
        <v>8.0000000000000071E-2</v>
      </c>
      <c r="AL38" s="26">
        <f t="shared" si="122"/>
        <v>8.0000000000000071E-2</v>
      </c>
      <c r="AM38" s="26">
        <f t="shared" si="122"/>
        <v>8.0000000000000071E-2</v>
      </c>
      <c r="AN38" s="26">
        <f t="shared" si="122"/>
        <v>8.0000000000000071E-2</v>
      </c>
      <c r="AO38" s="26">
        <f t="shared" si="122"/>
        <v>8.0000000000000071E-2</v>
      </c>
      <c r="AP38" s="26">
        <f t="shared" si="122"/>
        <v>8.0000000000000071E-2</v>
      </c>
      <c r="AQ38" s="26">
        <f t="shared" si="122"/>
        <v>8.0000000000000071E-2</v>
      </c>
      <c r="AR38" s="26">
        <f t="shared" si="122"/>
        <v>8.0000000000000071E-2</v>
      </c>
      <c r="AS38" s="26">
        <f t="shared" si="122"/>
        <v>8.0000000000000071E-2</v>
      </c>
      <c r="AT38" s="26">
        <f t="shared" si="122"/>
        <v>8.0000000000000071E-2</v>
      </c>
      <c r="AV38" s="66" t="s">
        <v>160</v>
      </c>
      <c r="AW38" s="27">
        <f>+AW36/AW37-1</f>
        <v>0.43571707430622952</v>
      </c>
    </row>
    <row r="39" spans="2:49" s="26" customFormat="1" x14ac:dyDescent="0.2">
      <c r="C39" s="29"/>
      <c r="D39" s="29"/>
      <c r="E39" s="29"/>
      <c r="F39" s="29"/>
    </row>
    <row r="40" spans="2:49" s="27" customFormat="1" x14ac:dyDescent="0.2">
      <c r="B40" s="27" t="s">
        <v>72</v>
      </c>
      <c r="C40" s="28"/>
      <c r="D40" s="28"/>
      <c r="E40" s="28"/>
      <c r="F40" s="28"/>
      <c r="G40" s="27">
        <f>+G3/C3-1</f>
        <v>0.24276169265033398</v>
      </c>
      <c r="H40" s="27">
        <f>+H3/D3-1</f>
        <v>0.13513739712651684</v>
      </c>
      <c r="I40" s="27">
        <f>+I3/E3-1</f>
        <v>4.2530190370722032E-2</v>
      </c>
      <c r="J40" s="27">
        <f>+J3/F3-1</f>
        <v>-1.6096625943973542E-2</v>
      </c>
      <c r="K40" s="27">
        <f>+K3/G3-1</f>
        <v>1.8703619566863505E-2</v>
      </c>
      <c r="L40" s="27">
        <f>+L3/H3-1</f>
        <v>4.7654157143208309E-2</v>
      </c>
      <c r="M40" s="27">
        <f>+M3/I3-1</f>
        <v>0.11348289031083225</v>
      </c>
      <c r="N40" s="27">
        <f>+N3/J3-1</f>
        <v>0.12712421368885551</v>
      </c>
      <c r="O40" s="27">
        <f>+O3/K3-1</f>
        <v>0.14363586808394668</v>
      </c>
      <c r="P40" s="27">
        <f>+P3/L3-1</f>
        <v>0.13796096462419061</v>
      </c>
      <c r="Q40" s="27">
        <f>+Q3/M3-1</f>
        <v>0.12172352700676869</v>
      </c>
      <c r="R40" s="27">
        <f>+R3/N3-1</f>
        <v>0.12523948354852155</v>
      </c>
      <c r="AG40" s="27">
        <f>+AG3/AF3-1</f>
        <v>9.0627118985438182E-2</v>
      </c>
      <c r="AH40" s="27">
        <f>+AH3/AG3-1</f>
        <v>7.7457679285934056E-2</v>
      </c>
      <c r="AI40" s="27">
        <f>+AI3/AH3-1</f>
        <v>0.13169516605440124</v>
      </c>
    </row>
    <row r="41" spans="2:49" s="27" customFormat="1" x14ac:dyDescent="0.2">
      <c r="B41" s="27" t="s">
        <v>71</v>
      </c>
      <c r="C41" s="28"/>
      <c r="D41" s="28"/>
      <c r="E41" s="28"/>
      <c r="F41" s="28"/>
      <c r="G41" s="27">
        <f>+G4/C4-1</f>
        <v>0.143880099916736</v>
      </c>
      <c r="H41" s="27">
        <f>+H4/D4-1</f>
        <v>4.8271922307911996E-2</v>
      </c>
      <c r="I41" s="27">
        <f>+I4/E4-1</f>
        <v>-1.8598195697432374E-2</v>
      </c>
      <c r="J41" s="27">
        <f>+J4/F4-1</f>
        <v>-7.7609174099386058E-2</v>
      </c>
      <c r="K41" s="27">
        <f>+K4/G4-1</f>
        <v>-2.5622361333527466E-2</v>
      </c>
      <c r="L41" s="27">
        <f>+L4/H4-1</f>
        <v>4.4277929155313256E-2</v>
      </c>
      <c r="M41" s="27">
        <f>+M4/I4-1</f>
        <v>0.12459340970159816</v>
      </c>
      <c r="N41" s="27">
        <f>+N4/J4-1</f>
        <v>0.15534346351877426</v>
      </c>
      <c r="O41" s="27">
        <f>+O4/K4-1</f>
        <v>0.20872553414014638</v>
      </c>
      <c r="P41" s="27">
        <f>+P4/L4-1</f>
        <v>0.13020221787345077</v>
      </c>
      <c r="Q41" s="27">
        <f>+Q4/M4-1</f>
        <v>0.12185613682092544</v>
      </c>
      <c r="R41" s="27">
        <f>+R4/N4-1</f>
        <v>0.1383695652173913</v>
      </c>
      <c r="AG41" s="27">
        <f>+AG4/AF4-1</f>
        <v>1.3797885248743258E-2</v>
      </c>
      <c r="AH41" s="27">
        <f>+AH4/AG4-1</f>
        <v>7.7522825975447018E-2</v>
      </c>
      <c r="AI41" s="27">
        <f>+AI4/AH4-1</f>
        <v>0.14715963186290071</v>
      </c>
    </row>
    <row r="42" spans="2:49" s="27" customFormat="1" x14ac:dyDescent="0.2">
      <c r="B42" s="27" t="s">
        <v>73</v>
      </c>
      <c r="C42" s="28"/>
      <c r="D42" s="28"/>
      <c r="E42" s="28"/>
      <c r="F42" s="28"/>
      <c r="G42" s="27">
        <f t="shared" ref="G42:L42" si="123">+G8/C8-1</f>
        <v>0.20114111532299028</v>
      </c>
      <c r="H42" s="27">
        <f t="shared" si="123"/>
        <v>0.10117931554138115</v>
      </c>
      <c r="I42" s="27">
        <f t="shared" si="123"/>
        <v>4.2337477073568275E-2</v>
      </c>
      <c r="J42" s="27">
        <f t="shared" si="123"/>
        <v>-2.2507204610951015E-2</v>
      </c>
      <c r="K42" s="27">
        <f t="shared" si="123"/>
        <v>7.9548412285268544E-3</v>
      </c>
      <c r="L42" s="27">
        <f t="shared" si="123"/>
        <v>5.4804984007256419E-2</v>
      </c>
      <c r="M42" s="27">
        <f t="shared" ref="M42:R42" si="124">+M8/I8-1</f>
        <v>0.1076787721785033</v>
      </c>
      <c r="N42" s="27">
        <f t="shared" si="124"/>
        <v>0.12490049824582083</v>
      </c>
      <c r="O42" s="27">
        <f t="shared" si="124"/>
        <v>0.13616629815529113</v>
      </c>
      <c r="P42" s="27">
        <f t="shared" si="124"/>
        <v>0.11530512182243347</v>
      </c>
      <c r="Q42" s="27">
        <f t="shared" si="124"/>
        <v>0.12537875444944557</v>
      </c>
      <c r="R42" s="27">
        <f t="shared" si="124"/>
        <v>0.10199053871656782</v>
      </c>
      <c r="AG42" s="27">
        <f>+AG5/AF5-1</f>
        <v>3.4036781174095365E-2</v>
      </c>
      <c r="AH42" s="27">
        <f>+AH5/AG5-1</f>
        <v>-4.4783404514948111E-2</v>
      </c>
      <c r="AI42" s="27">
        <f>+AI5/AH5-1</f>
        <v>-3.0435615738375055E-2</v>
      </c>
    </row>
    <row r="43" spans="2:49" s="27" customFormat="1" x14ac:dyDescent="0.2">
      <c r="B43" s="27" t="s">
        <v>74</v>
      </c>
      <c r="C43" s="28"/>
      <c r="D43" s="28"/>
      <c r="E43" s="28"/>
      <c r="F43" s="28"/>
      <c r="G43" s="27">
        <f t="shared" ref="G43:L43" si="125">+G10/C10-1</f>
        <v>4.5596943648519579</v>
      </c>
      <c r="H43" s="27">
        <f t="shared" si="125"/>
        <v>0.35609334485738975</v>
      </c>
      <c r="I43" s="27">
        <f t="shared" si="125"/>
        <v>0.37635270541082155</v>
      </c>
      <c r="J43" s="27">
        <f t="shared" si="125"/>
        <v>0.3201588160981772</v>
      </c>
      <c r="K43" s="27">
        <f t="shared" si="125"/>
        <v>0.28053599037965982</v>
      </c>
      <c r="L43" s="27">
        <f t="shared" si="125"/>
        <v>0.2796367112810707</v>
      </c>
      <c r="M43" s="27">
        <f t="shared" ref="M43:Q43" si="126">+M10/I10-1</f>
        <v>0.33838089691322071</v>
      </c>
      <c r="N43" s="27">
        <f t="shared" si="126"/>
        <v>0.25659603554340404</v>
      </c>
      <c r="O43" s="27">
        <f t="shared" si="126"/>
        <v>0.28441105446740012</v>
      </c>
      <c r="P43" s="27">
        <f t="shared" si="126"/>
        <v>0.28838251774374291</v>
      </c>
      <c r="Q43" s="27">
        <f t="shared" si="126"/>
        <v>0.23509573542210616</v>
      </c>
      <c r="R43" s="27">
        <f>+R10/N10-1</f>
        <v>0.3005874673629243</v>
      </c>
      <c r="AG43" s="27">
        <f>+AG6/AF6-1</f>
        <v>7.14855105323704E-2</v>
      </c>
      <c r="AH43" s="27">
        <f>+AH6/AG6-1</f>
        <v>5.9615187572670258E-2</v>
      </c>
      <c r="AI43" s="27">
        <f>+AI6/AH6-1</f>
        <v>0.11240041201572382</v>
      </c>
    </row>
    <row r="44" spans="2:49" s="27" customFormat="1" x14ac:dyDescent="0.2">
      <c r="C44" s="28"/>
      <c r="D44" s="28"/>
      <c r="E44" s="28"/>
      <c r="F44" s="28"/>
    </row>
    <row r="45" spans="2:49" s="27" customFormat="1" x14ac:dyDescent="0.2">
      <c r="B45" s="64" t="s">
        <v>154</v>
      </c>
      <c r="C45" s="28"/>
      <c r="D45" s="28"/>
      <c r="E45" s="28"/>
      <c r="F45" s="28"/>
      <c r="G45" s="27">
        <f t="shared" ref="G45:Q45" si="127">+G3/G16</f>
        <v>0.58252341532987306</v>
      </c>
      <c r="H45" s="27">
        <f t="shared" si="127"/>
        <v>0.58389897395422252</v>
      </c>
      <c r="I45" s="27">
        <f t="shared" si="127"/>
        <v>0.57226596422161757</v>
      </c>
      <c r="J45" s="27">
        <f t="shared" si="127"/>
        <v>0.56022512097622557</v>
      </c>
      <c r="K45" s="27">
        <f t="shared" si="127"/>
        <v>0.57831687850172664</v>
      </c>
      <c r="L45" s="27">
        <f t="shared" si="127"/>
        <v>0.57139027397994746</v>
      </c>
      <c r="M45" s="27">
        <f t="shared" si="127"/>
        <v>0.574054998500515</v>
      </c>
      <c r="N45" s="27">
        <f t="shared" si="127"/>
        <v>0.55636658556366581</v>
      </c>
      <c r="O45" s="27">
        <f t="shared" si="127"/>
        <v>0.57308881411490087</v>
      </c>
      <c r="P45" s="27">
        <f t="shared" si="127"/>
        <v>0.57243161596374881</v>
      </c>
      <c r="Q45" s="27">
        <f t="shared" si="127"/>
        <v>0.55948928263923503</v>
      </c>
      <c r="R45" s="27">
        <f>+R3/R16</f>
        <v>0.5601177580362604</v>
      </c>
      <c r="AV45" s="64"/>
      <c r="AW45" s="25"/>
    </row>
    <row r="46" spans="2:49" s="27" customFormat="1" x14ac:dyDescent="0.2">
      <c r="B46" s="64" t="s">
        <v>155</v>
      </c>
      <c r="C46" s="28"/>
      <c r="D46" s="28"/>
      <c r="E46" s="28"/>
      <c r="F46" s="28"/>
      <c r="G46" s="27">
        <f t="shared" ref="G46:L46" si="128">+G6/G16</f>
        <v>0.80370822366970052</v>
      </c>
      <c r="H46" s="27">
        <f t="shared" si="128"/>
        <v>0.80774915692042759</v>
      </c>
      <c r="I46" s="27">
        <f t="shared" si="128"/>
        <v>0.78854281248190816</v>
      </c>
      <c r="J46" s="27">
        <f t="shared" si="128"/>
        <v>0.77637807700399752</v>
      </c>
      <c r="K46" s="27">
        <f t="shared" si="128"/>
        <v>0.78163554816799685</v>
      </c>
      <c r="L46" s="27">
        <f t="shared" si="128"/>
        <v>0.779354994370275</v>
      </c>
      <c r="M46" s="27">
        <f t="shared" ref="M46:R46" si="129">+M6/M16</f>
        <v>0.77773721200109525</v>
      </c>
      <c r="N46" s="27">
        <f t="shared" si="129"/>
        <v>0.75908932916232186</v>
      </c>
      <c r="O46" s="27">
        <f t="shared" si="129"/>
        <v>0.76557940873365704</v>
      </c>
      <c r="P46" s="27">
        <f t="shared" si="129"/>
        <v>0.76250265511788728</v>
      </c>
      <c r="Q46" s="27">
        <f t="shared" si="129"/>
        <v>0.74606879050165409</v>
      </c>
      <c r="R46" s="27">
        <f t="shared" si="129"/>
        <v>0.75113248815681721</v>
      </c>
      <c r="AF46" s="27">
        <f t="shared" ref="AF46:AH46" si="130">+AF6/AF16</f>
        <v>0.81314795623299452</v>
      </c>
      <c r="AG46" s="27">
        <f t="shared" si="130"/>
        <v>0.79365073752987592</v>
      </c>
      <c r="AH46" s="27">
        <f t="shared" si="130"/>
        <v>0.7737789286713469</v>
      </c>
      <c r="AI46" s="27">
        <f t="shared" ref="AI46" si="131">+AI6/AI16</f>
        <v>0.75593255204018084</v>
      </c>
    </row>
    <row r="47" spans="2:49" s="27" customFormat="1" x14ac:dyDescent="0.2">
      <c r="B47" s="64" t="s">
        <v>156</v>
      </c>
      <c r="C47" s="28"/>
      <c r="D47" s="28"/>
      <c r="E47" s="28"/>
      <c r="F47" s="28"/>
      <c r="G47" s="27">
        <f t="shared" ref="G47:L47" si="132">+G10/G16</f>
        <v>8.5589095881548574E-2</v>
      </c>
      <c r="H47" s="27">
        <f t="shared" si="132"/>
        <v>9.0062423764081218E-2</v>
      </c>
      <c r="I47" s="27">
        <f t="shared" si="132"/>
        <v>9.9403693625890119E-2</v>
      </c>
      <c r="J47" s="27">
        <f t="shared" si="132"/>
        <v>9.6189248895434468E-2</v>
      </c>
      <c r="K47" s="27">
        <f t="shared" si="132"/>
        <v>0.10681072406035508</v>
      </c>
      <c r="L47" s="27">
        <f t="shared" si="132"/>
        <v>0.10764838346469358</v>
      </c>
      <c r="M47" s="27">
        <f t="shared" ref="M47:R47" si="133">+M10/M16</f>
        <v>0.11985448476392892</v>
      </c>
      <c r="N47" s="27">
        <f t="shared" si="133"/>
        <v>0.10649982620785541</v>
      </c>
      <c r="O47" s="27">
        <f t="shared" si="133"/>
        <v>0.11887408584660848</v>
      </c>
      <c r="P47" s="27">
        <f t="shared" si="133"/>
        <v>0.1221000212409431</v>
      </c>
      <c r="Q47" s="27">
        <f t="shared" si="133"/>
        <v>0.12861965831331854</v>
      </c>
      <c r="R47" s="27">
        <f t="shared" si="133"/>
        <v>0.12392582072997543</v>
      </c>
      <c r="AF47" s="27">
        <f t="shared" ref="AF47:AH47" si="134">+AF10/AF16</f>
        <v>6.2902455780807887E-2</v>
      </c>
      <c r="AG47" s="27">
        <f t="shared" si="134"/>
        <v>9.2916036148156522E-2</v>
      </c>
      <c r="AH47" s="27">
        <f t="shared" si="134"/>
        <v>0.11018107054789618</v>
      </c>
      <c r="AI47" s="27">
        <f t="shared" ref="AI47" si="135">+AI10/AI16</f>
        <v>0.12350507688176036</v>
      </c>
    </row>
    <row r="48" spans="2:49" s="27" customFormat="1" x14ac:dyDescent="0.2">
      <c r="C48" s="28"/>
      <c r="D48" s="28"/>
      <c r="E48" s="28"/>
      <c r="F48" s="28"/>
    </row>
    <row r="49" spans="2:49" s="27" customFormat="1" x14ac:dyDescent="0.2">
      <c r="B49" s="41" t="s">
        <v>141</v>
      </c>
      <c r="C49" s="28"/>
      <c r="D49" s="28"/>
      <c r="E49" s="28"/>
      <c r="F49" s="28"/>
      <c r="K49" s="27">
        <f t="shared" ref="K49:Q49" si="136">+K9/K8</f>
        <v>0.35081744968609285</v>
      </c>
      <c r="L49" s="27">
        <f t="shared" si="136"/>
        <v>0.35383570943652409</v>
      </c>
      <c r="M49" s="27">
        <f t="shared" si="136"/>
        <v>0.35208719442238107</v>
      </c>
      <c r="N49" s="27">
        <f t="shared" si="136"/>
        <v>0.35027715532492038</v>
      </c>
      <c r="O49" s="27">
        <f t="shared" si="136"/>
        <v>0.39627546237109007</v>
      </c>
      <c r="P49" s="27">
        <f t="shared" si="136"/>
        <v>0.40139054214911807</v>
      </c>
      <c r="Q49" s="27">
        <f t="shared" si="136"/>
        <v>0.40329368709972552</v>
      </c>
      <c r="R49" s="27">
        <f>+R9/R8</f>
        <v>0.39046780983185481</v>
      </c>
      <c r="AF49" s="27">
        <f t="shared" ref="AF49:AI49" si="137">+AF9/AF8</f>
        <v>0.38834561512541804</v>
      </c>
      <c r="AG49" s="27">
        <f t="shared" si="137"/>
        <v>0.33446009908175822</v>
      </c>
      <c r="AH49" s="27">
        <f t="shared" si="137"/>
        <v>0.35171697677063801</v>
      </c>
      <c r="AI49" s="27">
        <f t="shared" si="137"/>
        <v>0.39767487620109532</v>
      </c>
    </row>
    <row r="50" spans="2:49" s="27" customFormat="1" x14ac:dyDescent="0.2">
      <c r="B50" s="41" t="s">
        <v>142</v>
      </c>
      <c r="K50" s="27">
        <f t="shared" ref="K50:P50" si="138">+K11/K10</f>
        <v>2.5623826133619534E-2</v>
      </c>
      <c r="L50" s="27">
        <f t="shared" si="138"/>
        <v>4.9184410409662559E-2</v>
      </c>
      <c r="M50" s="27">
        <f t="shared" si="138"/>
        <v>2.8938207136640557E-2</v>
      </c>
      <c r="N50" s="27">
        <f t="shared" si="138"/>
        <v>9.3994778067885115E-2</v>
      </c>
      <c r="O50" s="27">
        <f t="shared" si="138"/>
        <v>9.4004595780238148E-2</v>
      </c>
      <c r="P50" s="27">
        <f t="shared" si="138"/>
        <v>0.11326954672852034</v>
      </c>
      <c r="Q50" s="27">
        <f>+Q11/Q10</f>
        <v>0.17149652074341584</v>
      </c>
      <c r="R50" s="27">
        <f>+R11/R10</f>
        <v>0.17507319113341699</v>
      </c>
      <c r="AF50" s="27">
        <f t="shared" ref="AF50:AH50" si="139">+AF11/AF10</f>
        <v>-0.24102184376156979</v>
      </c>
      <c r="AG50" s="27">
        <f t="shared" si="139"/>
        <v>-9.1894977168949774E-2</v>
      </c>
      <c r="AH50" s="27">
        <f t="shared" si="139"/>
        <v>5.0665800584605389E-2</v>
      </c>
      <c r="AI50" s="27">
        <f>+AI11/AI10</f>
        <v>0.14138656920123066</v>
      </c>
    </row>
    <row r="51" spans="2:49" s="27" customFormat="1" x14ac:dyDescent="0.2">
      <c r="C51" s="28"/>
      <c r="D51" s="28"/>
      <c r="E51" s="28"/>
      <c r="F51" s="28"/>
      <c r="AV51" s="24"/>
      <c r="AW51" s="24"/>
    </row>
    <row r="52" spans="2:49" s="27" customFormat="1" x14ac:dyDescent="0.2">
      <c r="C52" s="28"/>
      <c r="D52" s="28"/>
      <c r="E52" s="28"/>
      <c r="F52" s="28"/>
      <c r="AV52" s="24"/>
      <c r="AW52" s="24"/>
    </row>
    <row r="53" spans="2:49" s="27" customFormat="1" x14ac:dyDescent="0.2">
      <c r="C53" s="28"/>
      <c r="D53" s="28"/>
      <c r="E53" s="28"/>
      <c r="F53" s="28"/>
      <c r="K53" s="27">
        <f t="shared" ref="K53:P53" si="140">+SUM(H24:K24)/K54</f>
        <v>-1.2155031048177134E-2</v>
      </c>
      <c r="L53" s="27">
        <f t="shared" si="140"/>
        <v>-7.8026661563035974E-3</v>
      </c>
      <c r="M53" s="27">
        <f t="shared" si="140"/>
        <v>-2.2179905297641197E-3</v>
      </c>
      <c r="N53" s="27">
        <f t="shared" si="140"/>
        <v>1.1066984790667672E-2</v>
      </c>
      <c r="O53" s="27">
        <f t="shared" si="140"/>
        <v>2.6983609610728255E-2</v>
      </c>
      <c r="P53" s="27">
        <f t="shared" si="140"/>
        <v>2.908128457409645E-2</v>
      </c>
      <c r="Q53" s="27">
        <f>+SUM(N24:Q24)/Q54</f>
        <v>5.8654256681752198E-2</v>
      </c>
      <c r="R53" s="27">
        <f>+SUM(O24:R24)/R54</f>
        <v>6.0485841832578449E-2</v>
      </c>
      <c r="AI53" s="48"/>
      <c r="AV53" s="24"/>
      <c r="AW53" s="24"/>
    </row>
    <row r="54" spans="2:49" x14ac:dyDescent="0.2">
      <c r="B54" s="15" t="s">
        <v>26</v>
      </c>
      <c r="K54" s="24">
        <f t="shared" ref="K54:R54" si="141">+K55-K72</f>
        <v>128671</v>
      </c>
      <c r="L54" s="24">
        <f t="shared" si="141"/>
        <v>135851</v>
      </c>
      <c r="M54" s="24">
        <f t="shared" si="141"/>
        <v>137061</v>
      </c>
      <c r="N54" s="24">
        <f t="shared" si="141"/>
        <v>128671</v>
      </c>
      <c r="O54" s="24">
        <f t="shared" si="141"/>
        <v>128856</v>
      </c>
      <c r="P54" s="24">
        <f t="shared" si="141"/>
        <v>121659</v>
      </c>
      <c r="Q54" s="24">
        <f t="shared" si="141"/>
        <v>117110</v>
      </c>
      <c r="R54" s="24">
        <f t="shared" si="141"/>
        <v>122756</v>
      </c>
      <c r="AH54" s="24">
        <f t="shared" ref="AH54" si="142">+AH55-AH72</f>
        <v>128671</v>
      </c>
      <c r="AI54" s="24">
        <f t="shared" ref="AI54" si="143">+AI55-AI72</f>
        <v>122756</v>
      </c>
      <c r="AJ54" s="24">
        <f>+AI54+AJ27</f>
        <v>220773.38559999998</v>
      </c>
      <c r="AK54" s="24">
        <f t="shared" ref="AK54:AT54" si="144">+AJ54+AK27</f>
        <v>327795.47968271998</v>
      </c>
      <c r="AL54" s="24">
        <f t="shared" si="144"/>
        <v>444406.33718172042</v>
      </c>
      <c r="AM54" s="24">
        <f t="shared" si="144"/>
        <v>571210.92715361633</v>
      </c>
      <c r="AN54" s="24">
        <f t="shared" si="144"/>
        <v>708833.32228663401</v>
      </c>
      <c r="AO54" s="24">
        <f t="shared" si="144"/>
        <v>857914.3072526973</v>
      </c>
      <c r="AP54" s="24">
        <f t="shared" si="144"/>
        <v>1019108.3061025522</v>
      </c>
      <c r="AQ54" s="24">
        <f t="shared" si="144"/>
        <v>1193079.5144704764</v>
      </c>
      <c r="AR54" s="24">
        <f t="shared" si="144"/>
        <v>1380497.1059907302</v>
      </c>
      <c r="AS54" s="24">
        <f t="shared" si="144"/>
        <v>1582029.3637841884</v>
      </c>
      <c r="AT54" s="24">
        <f t="shared" si="144"/>
        <v>1798336.5668716086</v>
      </c>
    </row>
    <row r="55" spans="2:49" x14ac:dyDescent="0.2">
      <c r="B55" s="15" t="s">
        <v>3</v>
      </c>
      <c r="K55" s="63">
        <f>110916+31008</f>
        <v>141924</v>
      </c>
      <c r="L55" s="24">
        <f>25929+92403+31224</f>
        <v>149556</v>
      </c>
      <c r="M55" s="24">
        <f>30702+89233+30907</f>
        <v>150842</v>
      </c>
      <c r="N55" s="24">
        <f>24048+86868+31008</f>
        <v>141924</v>
      </c>
      <c r="O55" s="24">
        <f>24493+83597+33994</f>
        <v>142084</v>
      </c>
      <c r="P55" s="24">
        <f>27225+73500+34172</f>
        <v>134897</v>
      </c>
      <c r="Q55" s="24">
        <f>19959+73271+36177</f>
        <v>129407</v>
      </c>
      <c r="R55" s="24">
        <f>23466+72191+37982</f>
        <v>133639</v>
      </c>
      <c r="AH55" s="24">
        <f>24048+86868+31008</f>
        <v>141924</v>
      </c>
      <c r="AI55" s="24">
        <f>23466+72191+37982</f>
        <v>133639</v>
      </c>
    </row>
    <row r="56" spans="2:49" x14ac:dyDescent="0.2">
      <c r="B56" s="15" t="s">
        <v>27</v>
      </c>
      <c r="K56" s="24">
        <v>47964</v>
      </c>
      <c r="L56" s="24">
        <v>38804</v>
      </c>
      <c r="M56" s="24">
        <v>41020</v>
      </c>
      <c r="N56" s="24">
        <v>47964</v>
      </c>
      <c r="O56" s="24">
        <v>44552</v>
      </c>
      <c r="P56" s="24">
        <v>47087</v>
      </c>
      <c r="Q56" s="24">
        <v>49104</v>
      </c>
      <c r="R56" s="24">
        <v>52340</v>
      </c>
      <c r="AH56" s="24">
        <v>47964</v>
      </c>
      <c r="AI56" s="24">
        <v>52340</v>
      </c>
      <c r="AV56" s="23"/>
      <c r="AW56" s="23"/>
    </row>
    <row r="57" spans="2:49" x14ac:dyDescent="0.2">
      <c r="B57" s="15" t="s">
        <v>63</v>
      </c>
      <c r="L57" s="24">
        <v>2231</v>
      </c>
      <c r="M57" s="24">
        <v>2957</v>
      </c>
    </row>
    <row r="58" spans="2:49" x14ac:dyDescent="0.2">
      <c r="B58" s="15" t="s">
        <v>15</v>
      </c>
      <c r="K58" s="24">
        <v>12650</v>
      </c>
      <c r="L58" s="24">
        <v>9421</v>
      </c>
      <c r="M58" s="24">
        <v>12398</v>
      </c>
      <c r="N58" s="24">
        <v>12650</v>
      </c>
      <c r="O58" s="24">
        <v>12829</v>
      </c>
      <c r="P58" s="24">
        <v>14183</v>
      </c>
      <c r="Q58" s="24">
        <v>15207</v>
      </c>
      <c r="R58" s="24">
        <v>15714</v>
      </c>
      <c r="AH58" s="24">
        <v>12650</v>
      </c>
      <c r="AI58" s="24">
        <v>15714</v>
      </c>
    </row>
    <row r="59" spans="2:49" s="23" customFormat="1" x14ac:dyDescent="0.2">
      <c r="B59" s="2" t="s">
        <v>28</v>
      </c>
      <c r="C59" s="31"/>
      <c r="D59" s="31"/>
      <c r="E59" s="31"/>
      <c r="F59" s="21"/>
      <c r="K59" s="23">
        <f t="shared" ref="K59:R59" si="145">SUM(K55:K58)</f>
        <v>202538</v>
      </c>
      <c r="L59" s="23">
        <f t="shared" si="145"/>
        <v>200012</v>
      </c>
      <c r="M59" s="23">
        <f t="shared" si="145"/>
        <v>207217</v>
      </c>
      <c r="N59" s="23">
        <f t="shared" si="145"/>
        <v>202538</v>
      </c>
      <c r="O59" s="23">
        <f t="shared" si="145"/>
        <v>199465</v>
      </c>
      <c r="P59" s="23">
        <f t="shared" si="145"/>
        <v>196167</v>
      </c>
      <c r="Q59" s="23">
        <f t="shared" si="145"/>
        <v>193718</v>
      </c>
      <c r="R59" s="23">
        <f t="shared" si="145"/>
        <v>201693</v>
      </c>
      <c r="AH59" s="23">
        <f t="shared" ref="AH59" si="146">SUM(AH55:AH58)</f>
        <v>202538</v>
      </c>
      <c r="AI59" s="23">
        <f t="shared" ref="AI59" si="147">SUM(AI55:AI58)</f>
        <v>201693</v>
      </c>
      <c r="AV59" s="24"/>
      <c r="AW59" s="24"/>
    </row>
    <row r="60" spans="2:49" x14ac:dyDescent="0.2">
      <c r="B60" s="15" t="s">
        <v>30</v>
      </c>
      <c r="K60" s="24">
        <v>12169</v>
      </c>
      <c r="L60" s="24">
        <v>9357</v>
      </c>
      <c r="M60" s="24">
        <v>10983</v>
      </c>
      <c r="N60" s="24">
        <v>12169</v>
      </c>
      <c r="O60" s="24">
        <v>11687</v>
      </c>
      <c r="P60" s="24">
        <v>14958</v>
      </c>
      <c r="Q60" s="24">
        <v>15915</v>
      </c>
      <c r="R60" s="24">
        <v>17180</v>
      </c>
      <c r="AH60" s="24">
        <v>12169</v>
      </c>
      <c r="AI60" s="24">
        <v>17180</v>
      </c>
    </row>
    <row r="61" spans="2:49" x14ac:dyDescent="0.2">
      <c r="B61" s="15" t="s">
        <v>31</v>
      </c>
      <c r="K61" s="24">
        <v>134345</v>
      </c>
      <c r="L61" s="24">
        <v>121208</v>
      </c>
      <c r="M61" s="24">
        <v>125705</v>
      </c>
      <c r="N61" s="24">
        <v>134345</v>
      </c>
      <c r="O61" s="24">
        <v>143182</v>
      </c>
      <c r="P61" s="24">
        <v>151155</v>
      </c>
      <c r="Q61" s="24">
        <v>161270</v>
      </c>
      <c r="R61" s="24">
        <v>171036</v>
      </c>
      <c r="AH61" s="24">
        <v>134345</v>
      </c>
      <c r="AI61" s="24">
        <v>171036</v>
      </c>
    </row>
    <row r="62" spans="2:49" x14ac:dyDescent="0.2">
      <c r="B62" s="15" t="s">
        <v>32</v>
      </c>
      <c r="K62" s="24">
        <v>14091</v>
      </c>
      <c r="L62" s="24">
        <v>14469</v>
      </c>
      <c r="M62" s="24">
        <v>14199</v>
      </c>
      <c r="N62" s="24">
        <v>14091</v>
      </c>
      <c r="O62" s="24">
        <v>13768</v>
      </c>
      <c r="P62" s="24">
        <v>13606</v>
      </c>
      <c r="Q62" s="24">
        <v>13561</v>
      </c>
      <c r="R62" s="24">
        <v>13588</v>
      </c>
      <c r="AH62" s="24">
        <v>14091</v>
      </c>
      <c r="AI62" s="24">
        <v>13588</v>
      </c>
      <c r="AV62" s="23"/>
      <c r="AW62" s="23"/>
    </row>
    <row r="63" spans="2:49" x14ac:dyDescent="0.2">
      <c r="B63" s="15" t="s">
        <v>33</v>
      </c>
      <c r="K63" s="24">
        <v>29198</v>
      </c>
      <c r="L63" s="24">
        <f>1966+29210</f>
        <v>31176</v>
      </c>
      <c r="M63" s="24">
        <f>1833+29146</f>
        <v>30979</v>
      </c>
      <c r="N63" s="24">
        <v>29198</v>
      </c>
      <c r="O63" s="24">
        <v>29183</v>
      </c>
      <c r="P63" s="24">
        <f>29185</f>
        <v>29185</v>
      </c>
      <c r="Q63" s="24">
        <v>31935</v>
      </c>
      <c r="R63" s="24">
        <v>31885</v>
      </c>
      <c r="AH63" s="24">
        <v>29198</v>
      </c>
      <c r="AI63" s="24">
        <v>31885</v>
      </c>
    </row>
    <row r="64" spans="2:49" x14ac:dyDescent="0.2">
      <c r="B64" s="15" t="s">
        <v>15</v>
      </c>
      <c r="K64" s="24">
        <v>10051</v>
      </c>
      <c r="L64" s="24">
        <v>6822</v>
      </c>
      <c r="M64" s="24">
        <v>7628</v>
      </c>
      <c r="N64" s="24">
        <v>10051</v>
      </c>
      <c r="O64" s="24">
        <v>10065</v>
      </c>
      <c r="P64" s="24">
        <v>9699</v>
      </c>
      <c r="Q64" s="24">
        <v>13867</v>
      </c>
      <c r="R64" s="24">
        <v>14874</v>
      </c>
      <c r="AH64" s="24">
        <v>10051</v>
      </c>
      <c r="AI64" s="24">
        <v>14874</v>
      </c>
    </row>
    <row r="65" spans="2:49" s="23" customFormat="1" x14ac:dyDescent="0.2">
      <c r="B65" s="2" t="s">
        <v>34</v>
      </c>
      <c r="C65" s="31"/>
      <c r="D65" s="31"/>
      <c r="E65" s="31"/>
      <c r="F65" s="21"/>
      <c r="K65" s="23">
        <f t="shared" ref="K65:R65" si="148">SUM(K60:K64)+K59</f>
        <v>402392</v>
      </c>
      <c r="L65" s="23">
        <f t="shared" si="148"/>
        <v>383044</v>
      </c>
      <c r="M65" s="23">
        <f t="shared" si="148"/>
        <v>396711</v>
      </c>
      <c r="N65" s="23">
        <f t="shared" si="148"/>
        <v>402392</v>
      </c>
      <c r="O65" s="23">
        <f t="shared" si="148"/>
        <v>407350</v>
      </c>
      <c r="P65" s="23">
        <f t="shared" si="148"/>
        <v>414770</v>
      </c>
      <c r="Q65" s="23">
        <f t="shared" si="148"/>
        <v>430266</v>
      </c>
      <c r="R65" s="23">
        <f t="shared" si="148"/>
        <v>450256</v>
      </c>
      <c r="AH65" s="23">
        <f t="shared" ref="AH65" si="149">SUM(AH60:AH64)+AH59</f>
        <v>402392</v>
      </c>
      <c r="AI65" s="23">
        <f t="shared" ref="AI65" si="150">SUM(AI60:AI64)+AI59</f>
        <v>450256</v>
      </c>
      <c r="AV65" s="24"/>
      <c r="AW65" s="24"/>
    </row>
    <row r="66" spans="2:49" x14ac:dyDescent="0.2">
      <c r="B66" s="15" t="s">
        <v>35</v>
      </c>
      <c r="K66" s="24">
        <v>7493</v>
      </c>
      <c r="L66" s="24">
        <v>5313</v>
      </c>
      <c r="M66" s="24">
        <v>5803</v>
      </c>
      <c r="N66" s="24">
        <v>7493</v>
      </c>
      <c r="O66" s="24">
        <v>6198</v>
      </c>
      <c r="P66" s="24">
        <v>6092</v>
      </c>
      <c r="Q66" s="24">
        <v>7049</v>
      </c>
      <c r="R66" s="24">
        <v>7987</v>
      </c>
      <c r="AH66" s="24">
        <v>7493</v>
      </c>
      <c r="AI66" s="24">
        <v>7987</v>
      </c>
    </row>
    <row r="67" spans="2:49" x14ac:dyDescent="0.2">
      <c r="B67" s="15" t="s">
        <v>36</v>
      </c>
      <c r="K67" s="24">
        <v>15140</v>
      </c>
      <c r="L67" s="24">
        <v>11260</v>
      </c>
      <c r="M67" s="24">
        <v>12562</v>
      </c>
      <c r="N67" s="24">
        <v>15140</v>
      </c>
      <c r="O67" s="24">
        <v>9703</v>
      </c>
      <c r="P67" s="24">
        <v>11373</v>
      </c>
      <c r="Q67" s="24">
        <v>12908</v>
      </c>
      <c r="R67" s="24">
        <v>15069</v>
      </c>
      <c r="AH67" s="24">
        <v>15140</v>
      </c>
      <c r="AI67" s="24">
        <v>15069</v>
      </c>
    </row>
    <row r="68" spans="2:49" x14ac:dyDescent="0.2">
      <c r="B68" s="15" t="s">
        <v>37</v>
      </c>
      <c r="K68" s="24">
        <v>46168</v>
      </c>
      <c r="L68" s="24">
        <v>49300</v>
      </c>
      <c r="M68" s="24">
        <v>55602</v>
      </c>
      <c r="N68" s="24">
        <v>46168</v>
      </c>
      <c r="O68" s="24">
        <v>48603</v>
      </c>
      <c r="P68" s="24">
        <v>47298</v>
      </c>
      <c r="Q68" s="24">
        <v>46585</v>
      </c>
      <c r="R68" s="24">
        <v>51228</v>
      </c>
      <c r="AH68" s="24">
        <v>46168</v>
      </c>
      <c r="AI68" s="24">
        <v>51228</v>
      </c>
      <c r="AV68" s="23"/>
      <c r="AW68" s="23"/>
    </row>
    <row r="69" spans="2:49" x14ac:dyDescent="0.2">
      <c r="B69" s="15" t="s">
        <v>38</v>
      </c>
      <c r="K69" s="24">
        <v>8876</v>
      </c>
      <c r="L69" s="24">
        <v>7990</v>
      </c>
      <c r="M69" s="24">
        <v>8025</v>
      </c>
      <c r="N69" s="24">
        <v>8876</v>
      </c>
      <c r="O69" s="24">
        <v>8520</v>
      </c>
      <c r="P69" s="24">
        <v>8899</v>
      </c>
      <c r="Q69" s="24">
        <v>9365</v>
      </c>
      <c r="R69" s="24">
        <v>9802</v>
      </c>
      <c r="AH69" s="24">
        <v>8876</v>
      </c>
      <c r="AI69" s="24">
        <v>9802</v>
      </c>
    </row>
    <row r="70" spans="2:49" x14ac:dyDescent="0.2">
      <c r="B70" s="15" t="s">
        <v>39</v>
      </c>
      <c r="K70" s="24">
        <v>4137</v>
      </c>
      <c r="L70" s="24">
        <v>3846</v>
      </c>
      <c r="M70" s="24">
        <v>4303</v>
      </c>
      <c r="N70" s="24">
        <v>4137</v>
      </c>
      <c r="O70" s="24">
        <v>3973</v>
      </c>
      <c r="P70" s="24">
        <v>4251</v>
      </c>
      <c r="Q70" s="24">
        <v>4896</v>
      </c>
      <c r="R70" s="24">
        <v>5036</v>
      </c>
      <c r="AH70" s="24">
        <v>4137</v>
      </c>
      <c r="AI70" s="24">
        <v>5036</v>
      </c>
    </row>
    <row r="71" spans="2:49" s="23" customFormat="1" x14ac:dyDescent="0.2">
      <c r="B71" s="2" t="s">
        <v>40</v>
      </c>
      <c r="C71" s="31"/>
      <c r="D71" s="31"/>
      <c r="E71" s="31"/>
      <c r="F71" s="21"/>
      <c r="K71" s="23">
        <f t="shared" ref="K71:R71" si="151">SUM(K66:K70)</f>
        <v>81814</v>
      </c>
      <c r="L71" s="23">
        <f t="shared" si="151"/>
        <v>77709</v>
      </c>
      <c r="M71" s="23">
        <f t="shared" si="151"/>
        <v>86295</v>
      </c>
      <c r="N71" s="23">
        <f t="shared" si="151"/>
        <v>81814</v>
      </c>
      <c r="O71" s="23">
        <f t="shared" si="151"/>
        <v>76997</v>
      </c>
      <c r="P71" s="23">
        <f t="shared" si="151"/>
        <v>77913</v>
      </c>
      <c r="Q71" s="23">
        <f t="shared" si="151"/>
        <v>80803</v>
      </c>
      <c r="R71" s="23">
        <f t="shared" si="151"/>
        <v>89122</v>
      </c>
      <c r="AH71" s="23">
        <f t="shared" ref="AH71" si="152">SUM(AH66:AH70)</f>
        <v>81814</v>
      </c>
      <c r="AI71" s="23">
        <f t="shared" ref="AI71" si="153">SUM(AI66:AI70)</f>
        <v>89122</v>
      </c>
      <c r="AV71" s="24"/>
      <c r="AW71" s="24"/>
    </row>
    <row r="72" spans="2:49" x14ac:dyDescent="0.2">
      <c r="B72" s="15" t="s">
        <v>4</v>
      </c>
      <c r="K72" s="24">
        <v>13253</v>
      </c>
      <c r="L72" s="24">
        <v>13705</v>
      </c>
      <c r="M72" s="24">
        <v>13781</v>
      </c>
      <c r="N72" s="24">
        <v>13253</v>
      </c>
      <c r="O72" s="24">
        <v>13228</v>
      </c>
      <c r="P72" s="24">
        <v>13238</v>
      </c>
      <c r="Q72" s="24">
        <v>12297</v>
      </c>
      <c r="R72" s="24">
        <v>10883</v>
      </c>
      <c r="AH72" s="24">
        <v>13253</v>
      </c>
      <c r="AI72" s="24">
        <v>10883</v>
      </c>
    </row>
    <row r="73" spans="2:49" x14ac:dyDescent="0.2">
      <c r="B73" s="15" t="s">
        <v>39</v>
      </c>
      <c r="K73" s="24">
        <v>911</v>
      </c>
      <c r="L73" s="24">
        <v>667</v>
      </c>
      <c r="M73" s="24">
        <v>884</v>
      </c>
      <c r="N73" s="24">
        <v>911</v>
      </c>
      <c r="O73" s="24">
        <v>921</v>
      </c>
      <c r="P73" s="24">
        <v>985</v>
      </c>
      <c r="Q73" s="24">
        <v>1015</v>
      </c>
      <c r="R73" s="24">
        <v>0</v>
      </c>
      <c r="AH73" s="24">
        <v>911</v>
      </c>
      <c r="AI73" s="24">
        <v>0</v>
      </c>
    </row>
    <row r="74" spans="2:49" x14ac:dyDescent="0.2">
      <c r="B74" s="15" t="s">
        <v>17</v>
      </c>
      <c r="K74" s="24">
        <v>8474</v>
      </c>
      <c r="L74" s="24">
        <v>8753</v>
      </c>
      <c r="M74" s="24">
        <v>8038</v>
      </c>
      <c r="N74" s="24">
        <v>8474</v>
      </c>
      <c r="O74" s="24">
        <v>9234</v>
      </c>
      <c r="P74" s="24">
        <v>7703</v>
      </c>
      <c r="Q74" s="24">
        <v>8219</v>
      </c>
      <c r="R74" s="24">
        <v>8782</v>
      </c>
      <c r="AH74" s="24">
        <v>8474</v>
      </c>
      <c r="AI74" s="24">
        <v>8782</v>
      </c>
    </row>
    <row r="75" spans="2:49" x14ac:dyDescent="0.2">
      <c r="B75" s="15" t="s">
        <v>30</v>
      </c>
      <c r="K75" s="24">
        <v>485</v>
      </c>
      <c r="L75" s="24">
        <v>558</v>
      </c>
      <c r="M75" s="24">
        <v>528</v>
      </c>
      <c r="N75" s="24">
        <v>485</v>
      </c>
      <c r="O75" s="24">
        <v>486</v>
      </c>
      <c r="P75" s="24">
        <v>717</v>
      </c>
      <c r="Q75" s="24">
        <v>706</v>
      </c>
      <c r="R75" s="24">
        <v>0</v>
      </c>
      <c r="AH75" s="24">
        <v>485</v>
      </c>
      <c r="AI75" s="24">
        <v>0</v>
      </c>
      <c r="AV75" s="23"/>
      <c r="AW75" s="23"/>
    </row>
    <row r="76" spans="2:49" x14ac:dyDescent="0.2">
      <c r="B76" s="15" t="s">
        <v>32</v>
      </c>
      <c r="K76" s="24">
        <v>12460</v>
      </c>
      <c r="L76" s="24">
        <v>12746</v>
      </c>
      <c r="M76" s="24">
        <v>12550</v>
      </c>
      <c r="N76" s="24">
        <v>12460</v>
      </c>
      <c r="O76" s="24">
        <v>11957</v>
      </c>
      <c r="P76" s="24">
        <v>11708</v>
      </c>
      <c r="Q76" s="24">
        <v>11654</v>
      </c>
      <c r="R76" s="24">
        <v>11691</v>
      </c>
      <c r="AH76" s="24">
        <v>12460</v>
      </c>
      <c r="AI76" s="24">
        <v>11691</v>
      </c>
    </row>
    <row r="77" spans="2:49" x14ac:dyDescent="0.2">
      <c r="B77" s="15" t="s">
        <v>15</v>
      </c>
      <c r="K77" s="24">
        <v>1616</v>
      </c>
      <c r="L77" s="24">
        <v>1765</v>
      </c>
      <c r="M77" s="24">
        <v>1433</v>
      </c>
      <c r="N77" s="24">
        <v>1616</v>
      </c>
      <c r="O77" s="24">
        <v>1683</v>
      </c>
      <c r="P77" s="24">
        <v>1753</v>
      </c>
      <c r="Q77" s="24">
        <v>1453</v>
      </c>
      <c r="R77" s="24">
        <v>4694</v>
      </c>
      <c r="AH77" s="24">
        <v>1616</v>
      </c>
      <c r="AI77" s="24">
        <v>4694</v>
      </c>
    </row>
    <row r="78" spans="2:49" s="23" customFormat="1" x14ac:dyDescent="0.2">
      <c r="B78" s="2" t="s">
        <v>41</v>
      </c>
      <c r="C78" s="31"/>
      <c r="D78" s="31"/>
      <c r="E78" s="31"/>
      <c r="F78" s="21"/>
      <c r="K78" s="23">
        <f t="shared" ref="K78:R78" si="154">SUM(K72:K77)+K71</f>
        <v>119013</v>
      </c>
      <c r="L78" s="23">
        <f t="shared" si="154"/>
        <v>115903</v>
      </c>
      <c r="M78" s="23">
        <f t="shared" si="154"/>
        <v>123509</v>
      </c>
      <c r="N78" s="23">
        <f t="shared" si="154"/>
        <v>119013</v>
      </c>
      <c r="O78" s="23">
        <f t="shared" si="154"/>
        <v>114506</v>
      </c>
      <c r="P78" s="23">
        <f t="shared" si="154"/>
        <v>114017</v>
      </c>
      <c r="Q78" s="23">
        <f t="shared" si="154"/>
        <v>116147</v>
      </c>
      <c r="R78" s="23">
        <f t="shared" si="154"/>
        <v>125172</v>
      </c>
      <c r="AH78" s="23">
        <f t="shared" ref="AH78" si="155">SUM(AH72:AH77)+AH71</f>
        <v>119013</v>
      </c>
      <c r="AI78" s="23">
        <f t="shared" ref="AI78" si="156">SUM(AI72:AI77)+AI71</f>
        <v>125172</v>
      </c>
      <c r="AV78" s="24"/>
      <c r="AW78" s="24"/>
    </row>
    <row r="79" spans="2:49" x14ac:dyDescent="0.2">
      <c r="B79" s="15" t="s">
        <v>42</v>
      </c>
      <c r="K79" s="24">
        <f t="shared" ref="K79:Q79" si="157">+K65-K78</f>
        <v>283379</v>
      </c>
      <c r="L79" s="24">
        <f t="shared" si="157"/>
        <v>267141</v>
      </c>
      <c r="M79" s="24">
        <f t="shared" si="157"/>
        <v>273202</v>
      </c>
      <c r="N79" s="24">
        <f t="shared" si="157"/>
        <v>283379</v>
      </c>
      <c r="O79" s="24">
        <f t="shared" si="157"/>
        <v>292844</v>
      </c>
      <c r="P79" s="24">
        <f t="shared" si="157"/>
        <v>300753</v>
      </c>
      <c r="Q79" s="24">
        <f t="shared" si="157"/>
        <v>314119</v>
      </c>
      <c r="R79" s="24">
        <v>325084</v>
      </c>
      <c r="AH79" s="24">
        <f t="shared" ref="AH79" si="158">+AH65-AH78</f>
        <v>283379</v>
      </c>
      <c r="AI79" s="24">
        <v>325084</v>
      </c>
    </row>
    <row r="80" spans="2:49" x14ac:dyDescent="0.2">
      <c r="B80" s="15" t="s">
        <v>43</v>
      </c>
      <c r="K80" s="24">
        <f t="shared" ref="K80:R80" si="159">+K79+K78</f>
        <v>402392</v>
      </c>
      <c r="L80" s="24">
        <f t="shared" si="159"/>
        <v>383044</v>
      </c>
      <c r="M80" s="24">
        <f t="shared" si="159"/>
        <v>396711</v>
      </c>
      <c r="N80" s="24">
        <f t="shared" si="159"/>
        <v>402392</v>
      </c>
      <c r="O80" s="24">
        <f t="shared" si="159"/>
        <v>407350</v>
      </c>
      <c r="P80" s="24">
        <f t="shared" si="159"/>
        <v>414770</v>
      </c>
      <c r="Q80" s="24">
        <f t="shared" si="159"/>
        <v>430266</v>
      </c>
      <c r="R80" s="24">
        <f t="shared" si="159"/>
        <v>450256</v>
      </c>
      <c r="AH80" s="24">
        <f t="shared" ref="AH80" si="160">+AH79+AH78</f>
        <v>402392</v>
      </c>
      <c r="AI80" s="24">
        <f t="shared" ref="AI80" si="161">+AI79+AI78</f>
        <v>450256</v>
      </c>
      <c r="AV80" s="27"/>
      <c r="AW80" s="27"/>
    </row>
    <row r="82" spans="2:49" x14ac:dyDescent="0.2">
      <c r="B82" s="38" t="s">
        <v>147</v>
      </c>
      <c r="K82" s="24">
        <f t="shared" ref="K82:R82" si="162">+SUM(H27:K27)</f>
        <v>58587</v>
      </c>
      <c r="L82" s="24">
        <f t="shared" si="162"/>
        <v>60953</v>
      </c>
      <c r="M82" s="24">
        <f t="shared" si="162"/>
        <v>66732</v>
      </c>
      <c r="N82" s="24">
        <f t="shared" si="162"/>
        <v>73795</v>
      </c>
      <c r="O82" s="24">
        <f t="shared" si="162"/>
        <v>82406</v>
      </c>
      <c r="P82" s="24">
        <f t="shared" si="162"/>
        <v>87657</v>
      </c>
      <c r="Q82" s="24">
        <f t="shared" si="162"/>
        <v>94269</v>
      </c>
      <c r="R82" s="24">
        <f t="shared" si="162"/>
        <v>100118</v>
      </c>
      <c r="AH82" s="24">
        <f>+AH27</f>
        <v>73795</v>
      </c>
      <c r="AI82" s="24">
        <f>+AI27</f>
        <v>100118</v>
      </c>
      <c r="AV82" s="27"/>
      <c r="AW82" s="27"/>
    </row>
    <row r="83" spans="2:49" s="27" customFormat="1" x14ac:dyDescent="0.2">
      <c r="B83" s="27" t="s">
        <v>107</v>
      </c>
      <c r="C83" s="28"/>
      <c r="D83" s="28"/>
      <c r="E83" s="28"/>
      <c r="F83" s="28"/>
      <c r="K83" s="27">
        <f t="shared" ref="K83:Q83" si="163">+K82/(K56+K58+K60+K61+K62+K64)</f>
        <v>0.25332727980282788</v>
      </c>
      <c r="L83" s="27">
        <f t="shared" si="163"/>
        <v>0.30464162014384172</v>
      </c>
      <c r="M83" s="27">
        <f t="shared" si="163"/>
        <v>0.31487309668621688</v>
      </c>
      <c r="N83" s="27">
        <f t="shared" si="163"/>
        <v>0.31908591689367405</v>
      </c>
      <c r="O83" s="27">
        <f t="shared" si="163"/>
        <v>0.34905520516089683</v>
      </c>
      <c r="P83" s="27">
        <f t="shared" si="163"/>
        <v>0.34966571993872864</v>
      </c>
      <c r="Q83" s="27">
        <f t="shared" si="163"/>
        <v>0.35054141690589163</v>
      </c>
      <c r="R83" s="27">
        <f>+R82/(R56+R58+R60+R61+R62+R64)</f>
        <v>0.35162187600972145</v>
      </c>
      <c r="AH83" s="27">
        <f>+AH82/(AH56+AH58+AH60+AH61+AH62+AH64)</f>
        <v>0.31908591689367405</v>
      </c>
      <c r="AI83" s="27">
        <f>+AI82/(AI56+AI58+AI60+AI61+AI62+AI64)</f>
        <v>0.35162187600972145</v>
      </c>
      <c r="AV83" s="24"/>
      <c r="AW83" s="24"/>
    </row>
    <row r="84" spans="2:49" x14ac:dyDescent="0.2">
      <c r="B84" s="15" t="s">
        <v>121</v>
      </c>
      <c r="K84" s="24">
        <f t="shared" ref="K84:Q84" si="164">+K23*(1-K36)</f>
        <v>14397.866794836584</v>
      </c>
      <c r="L84" s="24">
        <f t="shared" si="164"/>
        <v>18313.490572067753</v>
      </c>
      <c r="M84" s="24">
        <f t="shared" si="164"/>
        <v>19824.613247157617</v>
      </c>
      <c r="N84" s="24">
        <f t="shared" si="164"/>
        <v>20081.101056857286</v>
      </c>
      <c r="O84" s="24">
        <f t="shared" si="164"/>
        <v>21286.189793395726</v>
      </c>
      <c r="P84" s="24">
        <f t="shared" si="164"/>
        <v>23510.982359986934</v>
      </c>
      <c r="Q84" s="24">
        <f t="shared" si="164"/>
        <v>23658.954803507222</v>
      </c>
      <c r="R84" s="24">
        <f>+R23*(1-R36)</f>
        <v>25489.966566386502</v>
      </c>
      <c r="AH84" s="24">
        <f>+AH23*(1-AH36)</f>
        <v>72569.057888166877</v>
      </c>
      <c r="AI84" s="24">
        <f>+AI23*(1-AI36)</f>
        <v>93913.633685264795</v>
      </c>
    </row>
    <row r="85" spans="2:49" s="27" customFormat="1" x14ac:dyDescent="0.2">
      <c r="B85" s="27" t="s">
        <v>119</v>
      </c>
      <c r="C85" s="28"/>
      <c r="D85" s="28"/>
      <c r="E85" s="28"/>
      <c r="F85" s="28"/>
      <c r="K85" s="27">
        <f t="shared" ref="K85:Q85" si="165">K84/(K79-K54)</f>
        <v>9.3064785239525966E-2</v>
      </c>
      <c r="L85" s="27">
        <f t="shared" si="165"/>
        <v>0.13948884585320856</v>
      </c>
      <c r="M85" s="27">
        <f t="shared" si="165"/>
        <v>0.14561824319754973</v>
      </c>
      <c r="N85" s="27">
        <f t="shared" si="165"/>
        <v>0.12980001717336714</v>
      </c>
      <c r="O85" s="27">
        <f t="shared" si="165"/>
        <v>0.12980333800885263</v>
      </c>
      <c r="P85" s="27">
        <f t="shared" si="165"/>
        <v>0.13127733123380422</v>
      </c>
      <c r="Q85" s="27">
        <f t="shared" si="165"/>
        <v>0.12009073089811746</v>
      </c>
      <c r="R85" s="27">
        <f>R84/(R79-R54)</f>
        <v>0.12598338621637392</v>
      </c>
      <c r="AH85" s="27">
        <f>AH84/(AH79-AH54)</f>
        <v>0.46907113974821518</v>
      </c>
      <c r="AI85" s="27">
        <f>AI84/(AI79-AI54)</f>
        <v>0.46416528451457434</v>
      </c>
      <c r="AV85" s="24"/>
      <c r="AW85" s="24"/>
    </row>
    <row r="86" spans="2:49" s="27" customFormat="1" x14ac:dyDescent="0.2">
      <c r="B86" s="76" t="s">
        <v>50</v>
      </c>
      <c r="C86" s="28"/>
      <c r="D86" s="28"/>
      <c r="E86" s="28"/>
      <c r="F86" s="28"/>
      <c r="L86" s="27">
        <f t="shared" ref="L86:Q86" si="166">+L105/K105-1</f>
        <v>9.5245667037684889E-2</v>
      </c>
      <c r="M86" s="27">
        <f t="shared" si="166"/>
        <v>0.16942508710801385</v>
      </c>
      <c r="N86" s="27">
        <f t="shared" si="166"/>
        <v>0.36797020484171328</v>
      </c>
      <c r="O86" s="27">
        <f t="shared" si="166"/>
        <v>9.0117070514565745E-2</v>
      </c>
      <c r="P86" s="27">
        <f t="shared" si="166"/>
        <v>9.7735597735597812E-2</v>
      </c>
      <c r="Q86" s="27">
        <f t="shared" si="166"/>
        <v>-9.479751251327162E-3</v>
      </c>
      <c r="R86" s="27">
        <f>+R105/Q105-1</f>
        <v>9.3025036367812675E-2</v>
      </c>
      <c r="AI86" s="27">
        <f>+AI105/AH105-1</f>
        <v>0.62894173824067479</v>
      </c>
      <c r="AJ86" s="27">
        <f>+AJ105/AI105-1</f>
        <v>0.42761968211668422</v>
      </c>
      <c r="AV86" s="24"/>
      <c r="AW86" s="24"/>
    </row>
    <row r="87" spans="2:49" x14ac:dyDescent="0.2">
      <c r="AI87" s="27"/>
    </row>
    <row r="88" spans="2:49" x14ac:dyDescent="0.2">
      <c r="B88" s="15" t="s">
        <v>44</v>
      </c>
      <c r="K88" s="24">
        <f>+K27</f>
        <v>15051</v>
      </c>
      <c r="L88" s="24">
        <f>33419-K88</f>
        <v>18368</v>
      </c>
      <c r="M88" s="24">
        <f t="shared" ref="M88:R88" si="167">+M27</f>
        <v>19689</v>
      </c>
      <c r="N88" s="24">
        <f t="shared" si="167"/>
        <v>20687</v>
      </c>
      <c r="O88" s="24">
        <f t="shared" si="167"/>
        <v>23662</v>
      </c>
      <c r="P88" s="24">
        <f t="shared" si="167"/>
        <v>23619</v>
      </c>
      <c r="Q88" s="24">
        <f t="shared" si="167"/>
        <v>26301</v>
      </c>
      <c r="R88" s="24">
        <f t="shared" si="167"/>
        <v>26536</v>
      </c>
      <c r="AH88" s="24">
        <f>+AH27</f>
        <v>73795</v>
      </c>
      <c r="AI88" s="24">
        <f>+AI27</f>
        <v>100118</v>
      </c>
    </row>
    <row r="89" spans="2:49" x14ac:dyDescent="0.2">
      <c r="B89" s="15" t="s">
        <v>45</v>
      </c>
      <c r="K89" s="24">
        <v>15051</v>
      </c>
      <c r="L89" s="24">
        <f>33419-K89</f>
        <v>18368</v>
      </c>
      <c r="M89" s="24">
        <f>53108-SUM(K89:L89)</f>
        <v>19689</v>
      </c>
      <c r="N89" s="24">
        <v>20687</v>
      </c>
      <c r="O89" s="24">
        <v>23662</v>
      </c>
      <c r="P89" s="24">
        <v>23619</v>
      </c>
      <c r="Q89" s="24">
        <v>26301</v>
      </c>
      <c r="R89" s="24">
        <v>26536</v>
      </c>
      <c r="AH89" s="24">
        <v>73795</v>
      </c>
      <c r="AI89" s="24">
        <v>100118</v>
      </c>
    </row>
    <row r="90" spans="2:49" x14ac:dyDescent="0.2">
      <c r="B90" s="15" t="s">
        <v>46</v>
      </c>
      <c r="K90" s="24">
        <v>2635</v>
      </c>
      <c r="L90" s="24">
        <f>6339+244-K90</f>
        <v>3948</v>
      </c>
      <c r="M90" s="24">
        <f>10010+373-SUM(K90:L90)</f>
        <v>3800</v>
      </c>
      <c r="N90" s="24">
        <v>3316</v>
      </c>
      <c r="O90" s="24">
        <v>3413</v>
      </c>
      <c r="P90" s="24">
        <v>3708</v>
      </c>
      <c r="Q90" s="24">
        <v>3985</v>
      </c>
      <c r="R90" s="24">
        <v>4205</v>
      </c>
      <c r="AH90" s="24">
        <f>+SUM(K90:N90)</f>
        <v>13699</v>
      </c>
      <c r="AI90" s="24">
        <f>+SUM(O90:R90)</f>
        <v>15311</v>
      </c>
    </row>
    <row r="91" spans="2:49" x14ac:dyDescent="0.2">
      <c r="B91" s="15" t="s">
        <v>47</v>
      </c>
      <c r="K91" s="24">
        <v>5284</v>
      </c>
      <c r="L91" s="24">
        <f>11058-K91</f>
        <v>5774</v>
      </c>
      <c r="M91" s="24">
        <f>16801-SUM(K91:L91)</f>
        <v>5743</v>
      </c>
      <c r="N91" s="24">
        <v>5659</v>
      </c>
      <c r="O91" s="24">
        <v>5264</v>
      </c>
      <c r="P91" s="24">
        <v>5865</v>
      </c>
      <c r="Q91" s="24">
        <v>5846</v>
      </c>
      <c r="R91" s="24">
        <v>5810</v>
      </c>
      <c r="AH91" s="24">
        <f t="shared" ref="AH91:AH101" si="168">+SUM(K91:N91)</f>
        <v>22460</v>
      </c>
      <c r="AI91" s="24">
        <f t="shared" ref="AI91:AI101" si="169">+SUM(O91:R91)</f>
        <v>22785</v>
      </c>
    </row>
    <row r="92" spans="2:49" x14ac:dyDescent="0.2">
      <c r="B92" s="15" t="s">
        <v>30</v>
      </c>
      <c r="K92" s="24">
        <v>-1854</v>
      </c>
      <c r="L92" s="24">
        <f>-4269-K92</f>
        <v>-2415</v>
      </c>
      <c r="M92" s="24">
        <f>-6093-SUM(K92:L92)</f>
        <v>-1824</v>
      </c>
      <c r="N92" s="24">
        <v>-1670</v>
      </c>
      <c r="O92" s="24">
        <v>419</v>
      </c>
      <c r="P92" s="24">
        <v>-3157</v>
      </c>
      <c r="Q92" s="24">
        <v>-1071</v>
      </c>
      <c r="R92" s="24">
        <v>-1448</v>
      </c>
      <c r="AH92" s="24">
        <f t="shared" si="168"/>
        <v>-7763</v>
      </c>
      <c r="AI92" s="24">
        <f t="shared" si="169"/>
        <v>-5257</v>
      </c>
    </row>
    <row r="93" spans="2:49" x14ac:dyDescent="0.2">
      <c r="B93" s="15" t="s">
        <v>29</v>
      </c>
      <c r="K93" s="24">
        <v>-84</v>
      </c>
      <c r="L93" s="24">
        <f>425-K93</f>
        <v>509</v>
      </c>
      <c r="M93" s="24">
        <f>1294-SUM(K93:L93)</f>
        <v>869</v>
      </c>
      <c r="N93" s="24">
        <v>-471</v>
      </c>
      <c r="O93" s="24">
        <v>-1781</v>
      </c>
      <c r="P93" s="24">
        <v>1024</v>
      </c>
      <c r="Q93" s="24">
        <v>-1981</v>
      </c>
      <c r="R93" s="24">
        <v>67</v>
      </c>
      <c r="AH93" s="24">
        <f t="shared" si="168"/>
        <v>823</v>
      </c>
      <c r="AI93" s="24">
        <f t="shared" si="169"/>
        <v>-2671</v>
      </c>
    </row>
    <row r="94" spans="2:49" x14ac:dyDescent="0.2">
      <c r="B94" s="15" t="s">
        <v>15</v>
      </c>
      <c r="K94" s="24">
        <v>1104</v>
      </c>
      <c r="L94" s="24">
        <f>650-K94</f>
        <v>-454</v>
      </c>
      <c r="M94" s="24">
        <f>912-SUM(K94:L94)</f>
        <v>262</v>
      </c>
      <c r="N94" s="24">
        <v>1665</v>
      </c>
      <c r="O94" s="24">
        <v>334</v>
      </c>
      <c r="P94" s="24">
        <v>851</v>
      </c>
      <c r="Q94" s="24">
        <v>1407</v>
      </c>
      <c r="R94" s="24">
        <v>827</v>
      </c>
      <c r="AH94" s="24">
        <f t="shared" si="168"/>
        <v>2577</v>
      </c>
      <c r="AI94" s="24">
        <f t="shared" si="169"/>
        <v>3419</v>
      </c>
    </row>
    <row r="95" spans="2:49" x14ac:dyDescent="0.2">
      <c r="B95" s="15" t="s">
        <v>27</v>
      </c>
      <c r="K95" s="24">
        <v>4454</v>
      </c>
      <c r="L95" s="24">
        <f>1506-K95</f>
        <v>-2948</v>
      </c>
      <c r="M95" s="24">
        <f>-1315-SUM(K95:L95)</f>
        <v>-2821</v>
      </c>
      <c r="N95" s="24">
        <v>-6518</v>
      </c>
      <c r="O95" s="24">
        <v>3167</v>
      </c>
      <c r="P95" s="24">
        <v>-3057</v>
      </c>
      <c r="Q95" s="24">
        <v>-1431</v>
      </c>
      <c r="R95" s="24">
        <v>-4570</v>
      </c>
      <c r="AH95" s="24">
        <f t="shared" si="168"/>
        <v>-7833</v>
      </c>
      <c r="AI95" s="24">
        <f t="shared" si="169"/>
        <v>-5891</v>
      </c>
    </row>
    <row r="96" spans="2:49" x14ac:dyDescent="0.2">
      <c r="B96" s="15" t="s">
        <v>17</v>
      </c>
      <c r="K96" s="24">
        <v>4069</v>
      </c>
      <c r="L96" s="24">
        <f>8520-K96</f>
        <v>4451</v>
      </c>
      <c r="M96" s="24">
        <f>10392-SUM(K96:L96)</f>
        <v>1872</v>
      </c>
      <c r="N96" s="24">
        <v>-9869</v>
      </c>
      <c r="O96" s="24">
        <v>3011</v>
      </c>
      <c r="P96" s="24">
        <v>-3900</v>
      </c>
      <c r="Q96" s="24">
        <v>-1908</v>
      </c>
      <c r="R96" s="24">
        <v>379</v>
      </c>
      <c r="AH96" s="24">
        <f t="shared" si="168"/>
        <v>523</v>
      </c>
      <c r="AI96" s="24">
        <f t="shared" si="169"/>
        <v>-2418</v>
      </c>
    </row>
    <row r="97" spans="2:36" x14ac:dyDescent="0.2">
      <c r="B97" s="15" t="s">
        <v>15</v>
      </c>
      <c r="K97" s="24">
        <v>-746</v>
      </c>
      <c r="L97" s="24">
        <f>-1259-K97</f>
        <v>-513</v>
      </c>
      <c r="M97" s="24">
        <f>-2883-SUM(K97:L97)</f>
        <v>-1624</v>
      </c>
      <c r="N97" s="24">
        <v>740</v>
      </c>
      <c r="O97" s="24">
        <v>-1000</v>
      </c>
      <c r="P97" s="24">
        <v>-532</v>
      </c>
      <c r="Q97" s="24">
        <v>-802</v>
      </c>
      <c r="R97" s="24">
        <v>937</v>
      </c>
      <c r="AH97" s="24">
        <f t="shared" si="168"/>
        <v>-2143</v>
      </c>
      <c r="AI97" s="24">
        <f t="shared" si="169"/>
        <v>-1397</v>
      </c>
    </row>
    <row r="98" spans="2:36" x14ac:dyDescent="0.2">
      <c r="B98" s="15" t="s">
        <v>35</v>
      </c>
      <c r="K98" s="24">
        <v>-1105</v>
      </c>
      <c r="L98" s="24">
        <f>14-K98</f>
        <v>1119</v>
      </c>
      <c r="M98" s="24">
        <f>237-SUM(K98:L98)</f>
        <v>223</v>
      </c>
      <c r="N98" s="24">
        <v>427</v>
      </c>
      <c r="O98" s="24">
        <v>-2124</v>
      </c>
      <c r="P98" s="24">
        <v>1561</v>
      </c>
      <c r="Q98" s="24">
        <v>521</v>
      </c>
      <c r="R98" s="24">
        <v>401</v>
      </c>
      <c r="AH98" s="24">
        <f t="shared" si="168"/>
        <v>664</v>
      </c>
      <c r="AI98" s="24">
        <f t="shared" si="169"/>
        <v>359</v>
      </c>
    </row>
    <row r="99" spans="2:36" x14ac:dyDescent="0.2">
      <c r="B99" s="15" t="s">
        <v>37</v>
      </c>
      <c r="K99" s="24">
        <v>-4496</v>
      </c>
      <c r="L99" s="24">
        <f>-4037-K99</f>
        <v>459</v>
      </c>
      <c r="M99" s="24">
        <f>-380-SUM(K99:L99)</f>
        <v>3657</v>
      </c>
      <c r="N99" s="24">
        <v>4317</v>
      </c>
      <c r="O99" s="24">
        <v>-5054</v>
      </c>
      <c r="P99" s="24">
        <v>-122</v>
      </c>
      <c r="Q99" s="24">
        <v>-1190</v>
      </c>
      <c r="R99" s="24">
        <v>5205</v>
      </c>
      <c r="AH99" s="24">
        <f t="shared" si="168"/>
        <v>3937</v>
      </c>
      <c r="AI99" s="24">
        <f t="shared" si="169"/>
        <v>-1161</v>
      </c>
    </row>
    <row r="100" spans="2:36" x14ac:dyDescent="0.2">
      <c r="B100" s="15" t="s">
        <v>38</v>
      </c>
      <c r="K100" s="24">
        <v>-602</v>
      </c>
      <c r="L100" s="24">
        <f>-418-K100</f>
        <v>184</v>
      </c>
      <c r="M100" s="24">
        <f>-315-SUM(K100:L100)</f>
        <v>103</v>
      </c>
      <c r="N100" s="24">
        <v>797</v>
      </c>
      <c r="O100" s="24">
        <v>-322</v>
      </c>
      <c r="P100" s="24">
        <v>419</v>
      </c>
      <c r="Q100" s="24">
        <v>381</v>
      </c>
      <c r="R100" s="24">
        <v>581</v>
      </c>
      <c r="AH100" s="24">
        <f t="shared" si="168"/>
        <v>482</v>
      </c>
      <c r="AI100" s="24">
        <f t="shared" si="169"/>
        <v>1059</v>
      </c>
    </row>
    <row r="101" spans="2:36" x14ac:dyDescent="0.2">
      <c r="B101" s="15" t="s">
        <v>39</v>
      </c>
      <c r="K101" s="24">
        <v>-201</v>
      </c>
      <c r="L101" s="24">
        <f>-17-K101</f>
        <v>184</v>
      </c>
      <c r="M101" s="24">
        <f>690-SUM(K101:L101)</f>
        <v>707</v>
      </c>
      <c r="N101" s="24">
        <v>-165</v>
      </c>
      <c r="O101" s="24">
        <v>-141</v>
      </c>
      <c r="P101" s="24">
        <v>361</v>
      </c>
      <c r="Q101" s="24">
        <v>640</v>
      </c>
      <c r="R101" s="24">
        <v>183</v>
      </c>
      <c r="AH101" s="24">
        <f t="shared" si="168"/>
        <v>525</v>
      </c>
      <c r="AI101" s="24">
        <f t="shared" si="169"/>
        <v>1043</v>
      </c>
    </row>
    <row r="102" spans="2:36" x14ac:dyDescent="0.2">
      <c r="B102" s="15" t="s">
        <v>48</v>
      </c>
      <c r="K102" s="24">
        <f t="shared" ref="K102:R102" si="170">+SUM(K95:K101)</f>
        <v>1373</v>
      </c>
      <c r="L102" s="24">
        <f t="shared" si="170"/>
        <v>2936</v>
      </c>
      <c r="M102" s="24">
        <f t="shared" si="170"/>
        <v>2117</v>
      </c>
      <c r="N102" s="24">
        <f t="shared" si="170"/>
        <v>-10271</v>
      </c>
      <c r="O102" s="24">
        <f t="shared" si="170"/>
        <v>-2463</v>
      </c>
      <c r="P102" s="24">
        <f t="shared" si="170"/>
        <v>-5270</v>
      </c>
      <c r="Q102" s="24">
        <f t="shared" si="170"/>
        <v>-3789</v>
      </c>
      <c r="R102" s="24">
        <f t="shared" si="170"/>
        <v>3116</v>
      </c>
      <c r="AH102" s="24">
        <f t="shared" ref="AH102:AI102" si="171">+SUM(AH95:AH101)</f>
        <v>-3845</v>
      </c>
      <c r="AI102" s="24">
        <f t="shared" si="171"/>
        <v>-8406</v>
      </c>
    </row>
    <row r="103" spans="2:36" x14ac:dyDescent="0.2">
      <c r="B103" s="15" t="s">
        <v>49</v>
      </c>
      <c r="K103" s="24">
        <f t="shared" ref="K103:R103" si="172">+SUM(K89:K94)+K102</f>
        <v>23509</v>
      </c>
      <c r="L103" s="24">
        <f t="shared" si="172"/>
        <v>28666</v>
      </c>
      <c r="M103" s="24">
        <f t="shared" si="172"/>
        <v>30656</v>
      </c>
      <c r="N103" s="24">
        <f t="shared" si="172"/>
        <v>18915</v>
      </c>
      <c r="O103" s="24">
        <f t="shared" si="172"/>
        <v>28848</v>
      </c>
      <c r="P103" s="24">
        <f t="shared" si="172"/>
        <v>26640</v>
      </c>
      <c r="Q103" s="24">
        <f t="shared" si="172"/>
        <v>30698</v>
      </c>
      <c r="R103" s="24">
        <f t="shared" si="172"/>
        <v>39113</v>
      </c>
      <c r="AH103" s="24">
        <f>+SUM(AH89:AH94)+AH102</f>
        <v>101746</v>
      </c>
      <c r="AI103" s="24">
        <f>+SUM(AI89:AI94)+AI102</f>
        <v>125299</v>
      </c>
    </row>
    <row r="105" spans="2:36" x14ac:dyDescent="0.2">
      <c r="B105" s="15" t="s">
        <v>50</v>
      </c>
      <c r="K105" s="24">
        <v>-6289</v>
      </c>
      <c r="L105" s="24">
        <f>-13177-K105</f>
        <v>-6888</v>
      </c>
      <c r="M105" s="24">
        <f>-21232-SUM(K105:L105)</f>
        <v>-8055</v>
      </c>
      <c r="N105" s="24">
        <v>-11019</v>
      </c>
      <c r="O105" s="24">
        <v>-12012</v>
      </c>
      <c r="P105" s="24">
        <v>-13186</v>
      </c>
      <c r="Q105" s="24">
        <v>-13061</v>
      </c>
      <c r="R105" s="24">
        <v>-14276</v>
      </c>
      <c r="S105" s="24">
        <v>-17000</v>
      </c>
      <c r="AH105" s="24">
        <f>+SUM(K105:N105)</f>
        <v>-32251</v>
      </c>
      <c r="AI105" s="24">
        <f>+SUM(O105:R105)</f>
        <v>-52535</v>
      </c>
      <c r="AJ105" s="24">
        <v>-75000</v>
      </c>
    </row>
    <row r="106" spans="2:36" x14ac:dyDescent="0.2">
      <c r="B106" s="15" t="s">
        <v>29</v>
      </c>
      <c r="K106" s="24">
        <f>-14227+18327-626+36</f>
        <v>3510</v>
      </c>
      <c r="L106" s="24">
        <f>-35589+37049-1513+181-K106</f>
        <v>-3382</v>
      </c>
      <c r="M106" s="24">
        <f>-49422+52642-2176+743-SUM(K106:L106)</f>
        <v>1659</v>
      </c>
      <c r="N106" s="24">
        <f>-28436+34030-851+204</f>
        <v>4947</v>
      </c>
      <c r="O106" s="24">
        <f>-20684+24985-1206+313</f>
        <v>3408</v>
      </c>
      <c r="P106" s="24">
        <f>+-22327+33592-993+292</f>
        <v>10564</v>
      </c>
      <c r="Q106" s="24">
        <f>-22023+23202-1035+127</f>
        <v>271</v>
      </c>
      <c r="R106" s="24">
        <f>-21645+21649-1800+150</f>
        <v>-1646</v>
      </c>
      <c r="AH106" s="24">
        <f t="shared" ref="AH106:AH108" si="173">+SUM(K106:N106)</f>
        <v>6734</v>
      </c>
      <c r="AI106" s="24">
        <f t="shared" ref="AI106:AI108" si="174">+SUM(O106:R106)</f>
        <v>12597</v>
      </c>
    </row>
    <row r="107" spans="2:36" x14ac:dyDescent="0.2">
      <c r="B107" s="15" t="s">
        <v>51</v>
      </c>
      <c r="I107" s="27"/>
      <c r="K107" s="24">
        <v>-42</v>
      </c>
      <c r="L107" s="24">
        <f>-340-K107</f>
        <v>-298</v>
      </c>
      <c r="M107" s="24">
        <f>-466-SUM(K107:L107)</f>
        <v>-126</v>
      </c>
      <c r="N107" s="24">
        <v>-29</v>
      </c>
      <c r="O107" s="24">
        <v>-61</v>
      </c>
      <c r="P107" s="24">
        <v>-26</v>
      </c>
      <c r="Q107" s="24">
        <v>-2753</v>
      </c>
      <c r="R107" s="24">
        <v>-91</v>
      </c>
      <c r="AH107" s="24">
        <f t="shared" si="173"/>
        <v>-495</v>
      </c>
      <c r="AI107" s="24">
        <f t="shared" si="174"/>
        <v>-2931</v>
      </c>
    </row>
    <row r="108" spans="2:36" x14ac:dyDescent="0.2">
      <c r="B108" s="15" t="s">
        <v>15</v>
      </c>
      <c r="K108" s="24">
        <v>-125</v>
      </c>
      <c r="L108" s="24">
        <f>-357-K108</f>
        <v>-232</v>
      </c>
      <c r="M108" s="24">
        <f>-985-SUM(K108:L108)</f>
        <v>-628</v>
      </c>
      <c r="N108" s="24">
        <v>-66</v>
      </c>
      <c r="O108" s="24">
        <v>101</v>
      </c>
      <c r="P108" s="24">
        <v>-133</v>
      </c>
      <c r="Q108" s="24">
        <v>-2468</v>
      </c>
      <c r="R108" s="24">
        <v>-167</v>
      </c>
      <c r="AH108" s="24">
        <f t="shared" si="173"/>
        <v>-1051</v>
      </c>
      <c r="AI108" s="24">
        <f t="shared" si="174"/>
        <v>-2667</v>
      </c>
    </row>
    <row r="109" spans="2:36" x14ac:dyDescent="0.2">
      <c r="B109" s="15" t="s">
        <v>52</v>
      </c>
      <c r="K109" s="24">
        <f t="shared" ref="K109:R109" si="175">SUM(K105:K108)</f>
        <v>-2946</v>
      </c>
      <c r="L109" s="24">
        <f t="shared" si="175"/>
        <v>-10800</v>
      </c>
      <c r="M109" s="24">
        <f t="shared" si="175"/>
        <v>-7150</v>
      </c>
      <c r="N109" s="24">
        <f t="shared" si="175"/>
        <v>-6167</v>
      </c>
      <c r="O109" s="24">
        <f t="shared" si="175"/>
        <v>-8564</v>
      </c>
      <c r="P109" s="24">
        <f t="shared" si="175"/>
        <v>-2781</v>
      </c>
      <c r="Q109" s="24">
        <f t="shared" si="175"/>
        <v>-18011</v>
      </c>
      <c r="R109" s="24">
        <f t="shared" si="175"/>
        <v>-16180</v>
      </c>
      <c r="AH109" s="24">
        <f t="shared" ref="AH109:AI109" si="176">SUM(AH105:AH108)</f>
        <v>-27063</v>
      </c>
      <c r="AI109" s="24">
        <f t="shared" si="176"/>
        <v>-45536</v>
      </c>
    </row>
    <row r="111" spans="2:36" x14ac:dyDescent="0.2">
      <c r="B111" s="15" t="s">
        <v>53</v>
      </c>
      <c r="K111" s="24">
        <v>-1989</v>
      </c>
      <c r="L111" s="24">
        <f>-4725-K111</f>
        <v>-2736</v>
      </c>
      <c r="M111" s="24">
        <f>-7157-SUM(K111:L111)</f>
        <v>-2432</v>
      </c>
      <c r="N111" s="24">
        <v>-2680</v>
      </c>
      <c r="O111" s="24">
        <v>-2929</v>
      </c>
      <c r="P111" s="24">
        <v>-3209</v>
      </c>
      <c r="Q111" s="24">
        <v>-3003</v>
      </c>
      <c r="R111" s="24">
        <v>-3049</v>
      </c>
      <c r="AH111" s="24">
        <f t="shared" ref="AH111:AH118" si="177">+SUM(K111:N111)</f>
        <v>-9837</v>
      </c>
      <c r="AI111" s="24">
        <f t="shared" ref="AI111:AI118" si="178">+SUM(O111:R111)</f>
        <v>-12190</v>
      </c>
    </row>
    <row r="112" spans="2:36" x14ac:dyDescent="0.2">
      <c r="B112" s="15" t="s">
        <v>54</v>
      </c>
      <c r="K112" s="24">
        <v>14557</v>
      </c>
      <c r="L112" s="24">
        <f>-29526-K112</f>
        <v>-44083</v>
      </c>
      <c r="M112" s="24">
        <f>-45313-SUM(K112:L112)</f>
        <v>-15787</v>
      </c>
      <c r="N112" s="24">
        <v>-16191</v>
      </c>
      <c r="O112" s="24">
        <v>-15696</v>
      </c>
      <c r="P112" s="24">
        <v>-15684</v>
      </c>
      <c r="Q112" s="24">
        <v>-15291</v>
      </c>
      <c r="R112" s="24">
        <v>-15551</v>
      </c>
      <c r="AH112" s="24">
        <f t="shared" si="177"/>
        <v>-61504</v>
      </c>
      <c r="AI112" s="24">
        <f t="shared" si="178"/>
        <v>-62222</v>
      </c>
    </row>
    <row r="113" spans="2:35" x14ac:dyDescent="0.2">
      <c r="B113" s="15" t="s">
        <v>110</v>
      </c>
      <c r="P113" s="24">
        <v>-2466</v>
      </c>
      <c r="Q113" s="24">
        <v>-2455</v>
      </c>
      <c r="R113" s="24">
        <v>-2442</v>
      </c>
      <c r="AH113" s="24">
        <f t="shared" si="177"/>
        <v>0</v>
      </c>
      <c r="AI113" s="24">
        <f t="shared" si="178"/>
        <v>-7363</v>
      </c>
    </row>
    <row r="114" spans="2:35" x14ac:dyDescent="0.2">
      <c r="B114" s="15" t="s">
        <v>55</v>
      </c>
      <c r="K114" s="24">
        <v>6927</v>
      </c>
      <c r="L114" s="24">
        <f>8050-K114</f>
        <v>1123</v>
      </c>
      <c r="M114" s="24">
        <f>9298-SUM(K114:L114)</f>
        <v>1248</v>
      </c>
      <c r="N114" s="24">
        <v>1492</v>
      </c>
      <c r="O114" s="24">
        <v>1982</v>
      </c>
      <c r="P114" s="24">
        <v>2893</v>
      </c>
      <c r="Q114" s="24">
        <v>3819</v>
      </c>
      <c r="R114" s="24">
        <v>4895</v>
      </c>
      <c r="AH114" s="24">
        <f t="shared" si="177"/>
        <v>10790</v>
      </c>
      <c r="AI114" s="24">
        <f t="shared" si="178"/>
        <v>13589</v>
      </c>
    </row>
    <row r="115" spans="2:35" x14ac:dyDescent="0.2">
      <c r="B115" s="15" t="s">
        <v>56</v>
      </c>
      <c r="K115" s="24">
        <v>6952</v>
      </c>
      <c r="L115" s="24">
        <f>-8207-K115</f>
        <v>-15159</v>
      </c>
      <c r="M115" s="24">
        <f>-9621-SUM(K115:L115)</f>
        <v>-1414</v>
      </c>
      <c r="N115" s="24">
        <v>-1929</v>
      </c>
      <c r="O115" s="24">
        <v>-3079</v>
      </c>
      <c r="P115" s="24">
        <v>-2423</v>
      </c>
      <c r="Q115" s="24">
        <v>-3449</v>
      </c>
      <c r="R115" s="24">
        <v>-3750</v>
      </c>
      <c r="AH115" s="24">
        <f t="shared" si="177"/>
        <v>-11550</v>
      </c>
      <c r="AI115" s="24">
        <f t="shared" si="178"/>
        <v>-12701</v>
      </c>
    </row>
    <row r="116" spans="2:35" x14ac:dyDescent="0.2">
      <c r="B116" s="15" t="s">
        <v>62</v>
      </c>
      <c r="K116" s="24">
        <v>3</v>
      </c>
      <c r="L116" s="24">
        <f>5-K116</f>
        <v>2</v>
      </c>
      <c r="M116" s="24">
        <f>8-SUM(K116:L116)</f>
        <v>3</v>
      </c>
      <c r="N116" s="24">
        <v>0</v>
      </c>
      <c r="O116" s="24">
        <v>8</v>
      </c>
      <c r="P116" s="24">
        <v>0</v>
      </c>
      <c r="Q116" s="24">
        <v>285</v>
      </c>
      <c r="R116" s="24">
        <v>861</v>
      </c>
      <c r="AH116" s="24">
        <f t="shared" si="177"/>
        <v>8</v>
      </c>
      <c r="AI116" s="24">
        <f t="shared" si="178"/>
        <v>1154</v>
      </c>
    </row>
    <row r="117" spans="2:35" x14ac:dyDescent="0.2">
      <c r="B117" s="15" t="s">
        <v>57</v>
      </c>
      <c r="K117" s="24">
        <f t="shared" ref="K117:R117" si="179">SUM(K111:K116)</f>
        <v>26450</v>
      </c>
      <c r="L117" s="24">
        <f t="shared" si="179"/>
        <v>-60853</v>
      </c>
      <c r="M117" s="24">
        <f t="shared" si="179"/>
        <v>-18382</v>
      </c>
      <c r="N117" s="24">
        <f t="shared" si="179"/>
        <v>-19308</v>
      </c>
      <c r="O117" s="24">
        <f t="shared" si="179"/>
        <v>-19714</v>
      </c>
      <c r="P117" s="24">
        <f t="shared" si="179"/>
        <v>-20889</v>
      </c>
      <c r="Q117" s="24">
        <f t="shared" si="179"/>
        <v>-20094</v>
      </c>
      <c r="R117" s="24">
        <f t="shared" si="179"/>
        <v>-19036</v>
      </c>
      <c r="AH117" s="24">
        <f t="shared" ref="AH117:AI117" si="180">SUM(AH111:AH116)</f>
        <v>-72093</v>
      </c>
      <c r="AI117" s="24">
        <f t="shared" si="180"/>
        <v>-79733</v>
      </c>
    </row>
    <row r="118" spans="2:35" x14ac:dyDescent="0.2">
      <c r="B118" s="15" t="s">
        <v>58</v>
      </c>
      <c r="K118" s="24">
        <v>50</v>
      </c>
      <c r="L118" s="24">
        <f>24-K118</f>
        <v>-26</v>
      </c>
      <c r="M118" s="24">
        <f>-327-SUM(K118:L118)</f>
        <v>-351</v>
      </c>
      <c r="N118" s="24">
        <v>-94</v>
      </c>
      <c r="O118" s="24">
        <v>-125</v>
      </c>
      <c r="P118" s="24">
        <v>-238</v>
      </c>
      <c r="Q118" s="24">
        <v>141</v>
      </c>
      <c r="R118" s="24">
        <v>-390</v>
      </c>
      <c r="AH118" s="24">
        <f t="shared" si="177"/>
        <v>-421</v>
      </c>
      <c r="AI118" s="24">
        <f t="shared" si="178"/>
        <v>-612</v>
      </c>
    </row>
    <row r="119" spans="2:35" x14ac:dyDescent="0.2">
      <c r="B119" s="15" t="s">
        <v>59</v>
      </c>
      <c r="K119" s="24">
        <f t="shared" ref="K119:R119" si="181">+K103+K109+K117+K118</f>
        <v>47063</v>
      </c>
      <c r="L119" s="24">
        <f t="shared" si="181"/>
        <v>-43013</v>
      </c>
      <c r="M119" s="24">
        <f t="shared" si="181"/>
        <v>4773</v>
      </c>
      <c r="N119" s="24">
        <f t="shared" si="181"/>
        <v>-6654</v>
      </c>
      <c r="O119" s="24">
        <f t="shared" si="181"/>
        <v>445</v>
      </c>
      <c r="P119" s="24">
        <f t="shared" si="181"/>
        <v>2732</v>
      </c>
      <c r="Q119" s="24">
        <f t="shared" si="181"/>
        <v>-7266</v>
      </c>
      <c r="R119" s="24">
        <f t="shared" si="181"/>
        <v>3507</v>
      </c>
      <c r="AH119" s="24">
        <f t="shared" ref="AH119:AI119" si="182">+AH103+AH109+AH117+AH118</f>
        <v>2169</v>
      </c>
      <c r="AI119" s="24">
        <f t="shared" si="182"/>
        <v>-582</v>
      </c>
    </row>
    <row r="121" spans="2:35" x14ac:dyDescent="0.2">
      <c r="B121" s="15" t="s">
        <v>60</v>
      </c>
      <c r="K121" s="24">
        <f t="shared" ref="K121:Q121" si="183">+K103+K105</f>
        <v>17220</v>
      </c>
      <c r="L121" s="24">
        <f t="shared" si="183"/>
        <v>21778</v>
      </c>
      <c r="M121" s="24">
        <f t="shared" si="183"/>
        <v>22601</v>
      </c>
      <c r="N121" s="24">
        <f t="shared" si="183"/>
        <v>7896</v>
      </c>
      <c r="O121" s="24">
        <f t="shared" si="183"/>
        <v>16836</v>
      </c>
      <c r="P121" s="24">
        <f t="shared" si="183"/>
        <v>13454</v>
      </c>
      <c r="Q121" s="24">
        <f t="shared" si="183"/>
        <v>17637</v>
      </c>
      <c r="R121" s="24">
        <f t="shared" ref="R121" si="184">+R103+R105</f>
        <v>24837</v>
      </c>
      <c r="AH121" s="24">
        <f t="shared" ref="AH121:AI121" si="185">+SUM(N121:Q121)</f>
        <v>55823</v>
      </c>
      <c r="AI121" s="24">
        <f t="shared" si="185"/>
        <v>72764</v>
      </c>
    </row>
    <row r="122" spans="2:35" x14ac:dyDescent="0.2">
      <c r="B122" s="32" t="s">
        <v>61</v>
      </c>
      <c r="N122" s="24">
        <f>+SUM(K121:N121)</f>
        <v>69495</v>
      </c>
      <c r="O122" s="24">
        <f>+SUM(L121:O121)</f>
        <v>69111</v>
      </c>
      <c r="P122" s="24">
        <f>+SUM(M121:P121)</f>
        <v>60787</v>
      </c>
      <c r="Q122" s="24">
        <f>+SUM(N121:Q121)</f>
        <v>55823</v>
      </c>
      <c r="R122" s="24">
        <f>+SUM(O121:R121)</f>
        <v>72764</v>
      </c>
    </row>
    <row r="123" spans="2:35" x14ac:dyDescent="0.2">
      <c r="B123" s="32"/>
    </row>
    <row r="124" spans="2:35" x14ac:dyDescent="0.2">
      <c r="B124" s="74" t="s">
        <v>172</v>
      </c>
      <c r="R124" s="24">
        <f>+Main!L9/SUM(Model!O121:R121)</f>
        <v>23.38433181243472</v>
      </c>
      <c r="AI124" s="24">
        <f>+Main!L9/Model!AI121</f>
        <v>23.38433181243472</v>
      </c>
    </row>
    <row r="126" spans="2:35" x14ac:dyDescent="0.2">
      <c r="B126" s="15" t="s">
        <v>108</v>
      </c>
      <c r="I126" s="24">
        <v>186779</v>
      </c>
      <c r="J126" s="24">
        <v>190234</v>
      </c>
      <c r="L126" s="24">
        <v>181798</v>
      </c>
      <c r="M126" s="24">
        <v>182381</v>
      </c>
      <c r="N126" s="24">
        <v>182502</v>
      </c>
      <c r="P126" s="24">
        <v>179582</v>
      </c>
      <c r="Q126" s="24">
        <v>181269</v>
      </c>
      <c r="R126" s="24">
        <v>183323</v>
      </c>
      <c r="AH126" s="24">
        <f>+N126</f>
        <v>182502</v>
      </c>
      <c r="AI126" s="24">
        <f>+R126</f>
        <v>183323</v>
      </c>
    </row>
    <row r="128" spans="2:35" x14ac:dyDescent="0.2">
      <c r="B128" s="73" t="s">
        <v>171</v>
      </c>
    </row>
    <row r="129" spans="2:49" x14ac:dyDescent="0.2">
      <c r="B129" s="15" t="s">
        <v>111</v>
      </c>
      <c r="I129" s="24">
        <v>33372</v>
      </c>
      <c r="J129" s="24">
        <v>36982</v>
      </c>
      <c r="K129" s="24">
        <v>32864</v>
      </c>
      <c r="L129" s="24">
        <v>35073</v>
      </c>
      <c r="M129" s="24">
        <v>36354</v>
      </c>
      <c r="N129" s="24">
        <v>41995</v>
      </c>
      <c r="O129" s="24">
        <v>38737</v>
      </c>
      <c r="P129" s="24">
        <v>41196</v>
      </c>
      <c r="Q129" s="24">
        <v>43139</v>
      </c>
      <c r="R129" s="24">
        <v>47375</v>
      </c>
      <c r="AH129" s="24">
        <f t="shared" ref="AH129:AH132" si="186">+SUM(N129:Q129)</f>
        <v>165067</v>
      </c>
      <c r="AI129" s="24">
        <f t="shared" ref="AI129:AI132" si="187">+SUM(O129:R129)</f>
        <v>170447</v>
      </c>
    </row>
    <row r="130" spans="2:49" x14ac:dyDescent="0.2">
      <c r="B130" s="15" t="s">
        <v>112</v>
      </c>
      <c r="I130" s="24">
        <v>19450</v>
      </c>
      <c r="J130" s="24">
        <v>21762</v>
      </c>
      <c r="K130" s="24">
        <v>21078</v>
      </c>
      <c r="L130" s="24">
        <v>22289</v>
      </c>
      <c r="M130" s="24">
        <v>22661</v>
      </c>
      <c r="N130" s="24">
        <v>25010</v>
      </c>
      <c r="O130" s="24">
        <v>23788</v>
      </c>
      <c r="P130" s="24">
        <v>24683</v>
      </c>
      <c r="Q130" s="24">
        <v>25472</v>
      </c>
      <c r="R130" s="24">
        <v>28184</v>
      </c>
      <c r="AH130" s="24">
        <f t="shared" si="186"/>
        <v>98953</v>
      </c>
      <c r="AI130" s="24">
        <f t="shared" si="187"/>
        <v>102127</v>
      </c>
    </row>
    <row r="131" spans="2:49" x14ac:dyDescent="0.2">
      <c r="B131" s="15" t="s">
        <v>113</v>
      </c>
      <c r="I131" s="24">
        <v>11494</v>
      </c>
      <c r="J131" s="24">
        <v>11979</v>
      </c>
      <c r="K131" s="24">
        <v>11681</v>
      </c>
      <c r="L131" s="24">
        <v>12728</v>
      </c>
      <c r="M131" s="24">
        <v>13126</v>
      </c>
      <c r="N131" s="24">
        <v>13979</v>
      </c>
      <c r="O131" s="24">
        <v>13289</v>
      </c>
      <c r="P131" s="24">
        <v>13823</v>
      </c>
      <c r="Q131" s="24">
        <v>14547</v>
      </c>
      <c r="R131" s="24">
        <v>15156</v>
      </c>
      <c r="AH131" s="24">
        <f t="shared" si="186"/>
        <v>55638</v>
      </c>
      <c r="AI131" s="24">
        <f t="shared" si="187"/>
        <v>56815</v>
      </c>
      <c r="AV131" s="27"/>
      <c r="AW131" s="27"/>
    </row>
    <row r="132" spans="2:49" x14ac:dyDescent="0.2">
      <c r="B132" s="15" t="s">
        <v>114</v>
      </c>
      <c r="I132" s="24">
        <v>4138</v>
      </c>
      <c r="J132" s="24">
        <v>4656</v>
      </c>
      <c r="K132" s="24">
        <v>4080</v>
      </c>
      <c r="L132" s="24">
        <v>4511</v>
      </c>
      <c r="M132" s="24">
        <v>4553</v>
      </c>
      <c r="N132" s="24">
        <v>5176</v>
      </c>
      <c r="O132" s="24">
        <v>4653</v>
      </c>
      <c r="P132" s="24">
        <v>4938</v>
      </c>
      <c r="Q132" s="24">
        <v>5093</v>
      </c>
      <c r="R132" s="24">
        <v>5734</v>
      </c>
      <c r="AH132" s="24">
        <f t="shared" si="186"/>
        <v>19860</v>
      </c>
      <c r="AI132" s="24">
        <f t="shared" si="187"/>
        <v>20418</v>
      </c>
    </row>
    <row r="134" spans="2:49" s="27" customFormat="1" x14ac:dyDescent="0.2">
      <c r="B134" s="68" t="s">
        <v>167</v>
      </c>
      <c r="C134" s="28"/>
      <c r="D134" s="28"/>
      <c r="E134" s="28"/>
      <c r="F134" s="28"/>
      <c r="M134" s="27">
        <f t="shared" ref="M134:O134" si="188">+M129/I129-1</f>
        <v>8.935634663789993E-2</v>
      </c>
      <c r="N134" s="27">
        <f t="shared" si="188"/>
        <v>0.13555243091233571</v>
      </c>
      <c r="O134" s="27">
        <f t="shared" si="188"/>
        <v>0.17870618305744879</v>
      </c>
      <c r="P134" s="27">
        <f t="shared" ref="P134:R137" si="189">+P129/L129-1</f>
        <v>0.17457873577965954</v>
      </c>
      <c r="Q134" s="27">
        <f>+Q129/M129-1</f>
        <v>0.18663695879408038</v>
      </c>
      <c r="R134" s="27">
        <f>+R129/N129-1</f>
        <v>0.12811048934396951</v>
      </c>
      <c r="AI134" s="27">
        <f>+AI129/AH129-1</f>
        <v>3.2592825943404735E-2</v>
      </c>
      <c r="AV134" s="24"/>
      <c r="AW134" s="24"/>
    </row>
    <row r="135" spans="2:49" x14ac:dyDescent="0.2">
      <c r="B135" s="68" t="s">
        <v>168</v>
      </c>
      <c r="M135" s="27">
        <f t="shared" ref="M135:N135" si="190">+M130/I130-1</f>
        <v>0.16508997429305916</v>
      </c>
      <c r="N135" s="27">
        <f t="shared" si="190"/>
        <v>0.14925098796066538</v>
      </c>
      <c r="O135" s="27">
        <f>+O130/K130-1</f>
        <v>0.12857007306196033</v>
      </c>
      <c r="P135" s="27">
        <f t="shared" si="189"/>
        <v>0.1074072412400735</v>
      </c>
      <c r="Q135" s="27">
        <f t="shared" si="189"/>
        <v>0.1240457173116809</v>
      </c>
      <c r="R135" s="27">
        <f t="shared" si="189"/>
        <v>0.12690923630547779</v>
      </c>
      <c r="AI135" s="27">
        <f t="shared" ref="AI135:AI137" si="191">+AI130/AH130-1</f>
        <v>3.2075833981789259E-2</v>
      </c>
    </row>
    <row r="136" spans="2:49" x14ac:dyDescent="0.2">
      <c r="B136" s="68" t="s">
        <v>169</v>
      </c>
      <c r="M136" s="27">
        <f t="shared" ref="M136:O136" si="192">+M131/I131-1</f>
        <v>0.14198712371672184</v>
      </c>
      <c r="N136" s="27">
        <f t="shared" si="192"/>
        <v>0.16695884464479516</v>
      </c>
      <c r="O136" s="27">
        <f t="shared" si="192"/>
        <v>0.13765944696515708</v>
      </c>
      <c r="P136" s="27">
        <f t="shared" si="189"/>
        <v>8.6030798240100514E-2</v>
      </c>
      <c r="Q136" s="27">
        <f t="shared" si="189"/>
        <v>0.10825841840621675</v>
      </c>
      <c r="R136" s="27">
        <f t="shared" si="189"/>
        <v>8.4197725159167236E-2</v>
      </c>
      <c r="AI136" s="27">
        <f t="shared" si="191"/>
        <v>2.1154606563859257E-2</v>
      </c>
    </row>
    <row r="137" spans="2:49" x14ac:dyDescent="0.2">
      <c r="B137" s="68" t="s">
        <v>170</v>
      </c>
      <c r="M137" s="27">
        <f t="shared" ref="M137:O137" si="193">+M132/I132-1</f>
        <v>0.1002899951667473</v>
      </c>
      <c r="N137" s="27">
        <f t="shared" si="193"/>
        <v>0.11168384879725091</v>
      </c>
      <c r="O137" s="27">
        <f t="shared" si="193"/>
        <v>0.14044117647058818</v>
      </c>
      <c r="P137" s="27">
        <f t="shared" si="189"/>
        <v>9.4657503879405969E-2</v>
      </c>
      <c r="Q137" s="27">
        <f t="shared" si="189"/>
        <v>0.11860311882275432</v>
      </c>
      <c r="R137" s="27">
        <f t="shared" si="189"/>
        <v>0.10780525502318383</v>
      </c>
      <c r="AI137" s="27">
        <f t="shared" si="191"/>
        <v>2.8096676737160209E-2</v>
      </c>
    </row>
  </sheetData>
  <hyperlinks>
    <hyperlink ref="A1" location="Main!A1" display="Main" xr:uid="{F04ADC37-57E9-4FB0-881B-297E21265D22}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C435-1732-4568-821F-73DE632C5D18}">
  <dimension ref="A1:S24"/>
  <sheetViews>
    <sheetView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F22" sqref="F22"/>
    </sheetView>
  </sheetViews>
  <sheetFormatPr defaultRowHeight="12.75" customHeight="1" x14ac:dyDescent="0.2"/>
  <cols>
    <col min="1" max="1" width="5.28515625" style="62" bestFit="1" customWidth="1"/>
    <col min="2" max="2" width="22.85546875" style="62" bestFit="1" customWidth="1"/>
    <col min="3" max="16384" width="9.140625" style="62"/>
  </cols>
  <sheetData>
    <row r="1" spans="1:19" ht="12.75" customHeight="1" x14ac:dyDescent="0.2">
      <c r="A1" s="65" t="s">
        <v>157</v>
      </c>
    </row>
    <row r="2" spans="1:19" ht="12.75" customHeight="1" x14ac:dyDescent="0.2">
      <c r="B2" s="3"/>
      <c r="C2" s="38">
        <v>2014</v>
      </c>
      <c r="D2" s="38">
        <f t="shared" ref="D2:S2" si="0">+C2+1</f>
        <v>2015</v>
      </c>
      <c r="E2" s="38">
        <f t="shared" si="0"/>
        <v>2016</v>
      </c>
      <c r="F2" s="38">
        <f t="shared" si="0"/>
        <v>2017</v>
      </c>
      <c r="G2" s="38">
        <f t="shared" si="0"/>
        <v>2018</v>
      </c>
      <c r="H2" s="38">
        <f t="shared" si="0"/>
        <v>2019</v>
      </c>
      <c r="I2" s="38">
        <f t="shared" si="0"/>
        <v>2020</v>
      </c>
      <c r="J2" s="38">
        <f t="shared" si="0"/>
        <v>2021</v>
      </c>
      <c r="K2" s="38">
        <f t="shared" si="0"/>
        <v>2022</v>
      </c>
      <c r="L2" s="38">
        <f t="shared" si="0"/>
        <v>2023</v>
      </c>
      <c r="M2" s="38">
        <f t="shared" si="0"/>
        <v>2024</v>
      </c>
      <c r="N2" s="38">
        <f t="shared" si="0"/>
        <v>2025</v>
      </c>
      <c r="O2" s="38">
        <f t="shared" si="0"/>
        <v>2026</v>
      </c>
      <c r="P2" s="38">
        <f t="shared" si="0"/>
        <v>2027</v>
      </c>
      <c r="Q2" s="38">
        <f t="shared" si="0"/>
        <v>2028</v>
      </c>
      <c r="R2" s="38">
        <f t="shared" si="0"/>
        <v>2029</v>
      </c>
      <c r="S2" s="38">
        <f t="shared" si="0"/>
        <v>2030</v>
      </c>
    </row>
    <row r="3" spans="1:19" ht="12.75" customHeight="1" x14ac:dyDescent="0.2">
      <c r="B3" s="40" t="s">
        <v>127</v>
      </c>
      <c r="C3" s="40">
        <f>+D3*0.94</f>
        <v>556884.19999999995</v>
      </c>
      <c r="D3" s="40">
        <v>592430</v>
      </c>
      <c r="E3" s="40"/>
      <c r="F3" s="40"/>
      <c r="G3" s="46"/>
      <c r="H3" s="40">
        <f>+H9/H10</f>
        <v>721915.28545119695</v>
      </c>
      <c r="I3" s="40">
        <f>+I9/I10</f>
        <v>752442.99674267101</v>
      </c>
      <c r="J3" s="40">
        <f>+J9/J10</f>
        <v>894029.85074626864</v>
      </c>
      <c r="K3" s="40">
        <f>+K9/K10</f>
        <v>943313.95348837215</v>
      </c>
      <c r="L3" s="40">
        <f>+M3*0.927</f>
        <v>1010430</v>
      </c>
      <c r="M3" s="40">
        <v>1090000</v>
      </c>
      <c r="N3" s="40">
        <v>1160000</v>
      </c>
      <c r="O3" s="40"/>
      <c r="P3" s="40"/>
      <c r="Q3" s="40"/>
      <c r="R3" s="40"/>
      <c r="S3" s="40"/>
    </row>
    <row r="4" spans="1:19" ht="12.75" customHeight="1" x14ac:dyDescent="0.2">
      <c r="B4" s="46" t="s">
        <v>129</v>
      </c>
      <c r="C4" s="46"/>
      <c r="D4" s="46">
        <f>+D3/C3-1</f>
        <v>6.3829787234042534E-2</v>
      </c>
      <c r="E4" s="46"/>
      <c r="F4" s="46"/>
      <c r="G4" s="46"/>
      <c r="H4" s="46"/>
      <c r="I4" s="46">
        <f t="shared" ref="I4:N4" si="1">+I3/H3-1</f>
        <v>4.2287110283853124E-2</v>
      </c>
      <c r="J4" s="46">
        <f t="shared" si="1"/>
        <v>0.18816954190088508</v>
      </c>
      <c r="K4" s="46">
        <f t="shared" si="1"/>
        <v>5.5125791047094141E-2</v>
      </c>
      <c r="L4" s="46">
        <f t="shared" si="1"/>
        <v>7.1149214175654896E-2</v>
      </c>
      <c r="M4" s="46">
        <f t="shared" si="1"/>
        <v>7.8748651564185534E-2</v>
      </c>
      <c r="N4" s="46">
        <f t="shared" si="1"/>
        <v>6.4220183486238591E-2</v>
      </c>
      <c r="O4" s="46"/>
      <c r="P4" s="46"/>
      <c r="Q4" s="46"/>
      <c r="R4" s="46"/>
      <c r="S4" s="46"/>
    </row>
    <row r="5" spans="1:19" ht="12.75" customHeight="1" x14ac:dyDescent="0.2">
      <c r="B5" s="46"/>
      <c r="C5" s="46"/>
      <c r="D5" s="46"/>
      <c r="E5" s="46"/>
      <c r="F5" s="46"/>
      <c r="G5" s="40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</row>
    <row r="6" spans="1:19" ht="12.75" customHeight="1" x14ac:dyDescent="0.2">
      <c r="B6" s="40" t="s">
        <v>128</v>
      </c>
      <c r="C6" s="40"/>
      <c r="D6" s="40"/>
      <c r="E6" s="40"/>
      <c r="F6" s="40"/>
      <c r="G6" s="41"/>
      <c r="H6" s="40"/>
      <c r="I6" s="40"/>
      <c r="J6" s="40"/>
      <c r="K6" s="40"/>
      <c r="L6" s="40"/>
      <c r="M6" s="40"/>
      <c r="N6" s="40">
        <v>456000</v>
      </c>
      <c r="O6" s="40"/>
      <c r="P6" s="40"/>
      <c r="Q6" s="40"/>
      <c r="R6" s="40"/>
      <c r="S6" s="40"/>
    </row>
    <row r="7" spans="1:19" ht="12.75" customHeight="1" x14ac:dyDescent="0.2">
      <c r="B7" s="41" t="s">
        <v>130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>
        <f>+N6/N3</f>
        <v>0.39310344827586208</v>
      </c>
      <c r="O7" s="41"/>
      <c r="P7" s="41"/>
      <c r="Q7" s="41"/>
      <c r="R7" s="41"/>
      <c r="S7" s="41"/>
    </row>
    <row r="8" spans="1:19" ht="12.75" customHeight="1" x14ac:dyDescent="0.2">
      <c r="B8" s="41"/>
      <c r="C8" s="41"/>
      <c r="D8" s="41"/>
      <c r="E8" s="41"/>
      <c r="F8" s="41"/>
      <c r="G8" s="40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</row>
    <row r="9" spans="1:19" ht="12.75" customHeight="1" x14ac:dyDescent="0.2">
      <c r="B9" s="40" t="s">
        <v>144</v>
      </c>
      <c r="C9" s="40"/>
      <c r="D9" s="40"/>
      <c r="E9" s="40"/>
      <c r="F9" s="40"/>
      <c r="G9" s="46"/>
      <c r="H9" s="40">
        <v>392000</v>
      </c>
      <c r="I9" s="40">
        <v>462000</v>
      </c>
      <c r="J9" s="40">
        <v>599000</v>
      </c>
      <c r="K9" s="40">
        <v>649000</v>
      </c>
      <c r="L9" s="40">
        <v>716000</v>
      </c>
      <c r="M9" s="40">
        <v>790000</v>
      </c>
      <c r="N9" s="40"/>
      <c r="O9" s="40"/>
      <c r="P9" s="40"/>
      <c r="Q9" s="40"/>
      <c r="R9" s="40"/>
      <c r="S9" s="40"/>
    </row>
    <row r="10" spans="1:19" ht="12.75" customHeight="1" x14ac:dyDescent="0.2">
      <c r="B10" s="46" t="s">
        <v>143</v>
      </c>
      <c r="C10" s="46"/>
      <c r="D10" s="46"/>
      <c r="E10" s="46"/>
      <c r="F10" s="46"/>
      <c r="G10" s="46"/>
      <c r="H10" s="46">
        <v>0.54300000000000004</v>
      </c>
      <c r="I10" s="46">
        <v>0.61399999999999999</v>
      </c>
      <c r="J10" s="46">
        <v>0.67</v>
      </c>
      <c r="K10" s="46">
        <v>0.68799999999999994</v>
      </c>
      <c r="L10" s="46">
        <v>0.70699999999999996</v>
      </c>
      <c r="M10" s="46">
        <v>0.72699999999999998</v>
      </c>
      <c r="N10" s="46"/>
      <c r="O10" s="46"/>
      <c r="P10" s="46"/>
      <c r="Q10" s="46"/>
      <c r="R10" s="46"/>
      <c r="S10" s="46">
        <v>0.81</v>
      </c>
    </row>
    <row r="11" spans="1:19" ht="12.75" customHeight="1" x14ac:dyDescent="0.2">
      <c r="B11" s="46"/>
      <c r="C11" s="46"/>
      <c r="D11" s="46"/>
      <c r="E11" s="46"/>
      <c r="F11" s="46"/>
      <c r="G11" s="46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</row>
    <row r="12" spans="1:19" ht="12.75" customHeight="1" x14ac:dyDescent="0.2">
      <c r="B12" s="46" t="s">
        <v>145</v>
      </c>
      <c r="C12" s="46"/>
      <c r="D12" s="46"/>
      <c r="E12" s="46"/>
      <c r="F12" s="46"/>
      <c r="G12" s="46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</row>
    <row r="13" spans="1:19" ht="12.75" customHeight="1" x14ac:dyDescent="0.2">
      <c r="B13" s="46" t="s">
        <v>146</v>
      </c>
      <c r="C13" s="46"/>
      <c r="D13" s="46"/>
      <c r="E13" s="46"/>
      <c r="F13" s="46"/>
      <c r="G13" s="46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</row>
    <row r="14" spans="1:19" ht="12.75" customHeight="1" x14ac:dyDescent="0.2">
      <c r="B14" s="46"/>
      <c r="C14" s="46"/>
      <c r="D14" s="46"/>
      <c r="E14" s="46"/>
      <c r="F14" s="46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</row>
    <row r="15" spans="1:19" ht="12.75" customHeight="1" x14ac:dyDescent="0.2">
      <c r="B15" s="38" t="s">
        <v>134</v>
      </c>
      <c r="C15" s="38"/>
      <c r="D15" s="38"/>
      <c r="E15" s="38"/>
      <c r="F15" s="38"/>
      <c r="G15" s="38"/>
      <c r="H15" s="40"/>
      <c r="I15" s="40"/>
      <c r="J15" s="40">
        <f>+Model!AF6</f>
        <v>209497</v>
      </c>
      <c r="K15" s="40">
        <f>+Model!AG6</f>
        <v>224473</v>
      </c>
      <c r="L15" s="40">
        <f>+Model!AH6</f>
        <v>237855</v>
      </c>
      <c r="M15" s="40">
        <f>+Model!AI6</f>
        <v>264590</v>
      </c>
      <c r="N15" s="38"/>
      <c r="O15" s="38"/>
      <c r="P15" s="38"/>
      <c r="Q15" s="38"/>
      <c r="R15" s="38"/>
      <c r="S15" s="38"/>
    </row>
    <row r="16" spans="1:19" ht="12.75" customHeight="1" x14ac:dyDescent="0.2">
      <c r="B16" s="38" t="s">
        <v>135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</row>
    <row r="17" spans="2:19" ht="12.75" customHeight="1" x14ac:dyDescent="0.2">
      <c r="B17" s="38" t="s">
        <v>136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</row>
    <row r="18" spans="2:19" ht="12.75" customHeight="1" x14ac:dyDescent="0.2">
      <c r="B18" s="38" t="s">
        <v>137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</row>
    <row r="19" spans="2:19" ht="12.75" customHeight="1" x14ac:dyDescent="0.2">
      <c r="B19" s="38" t="s">
        <v>138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</row>
    <row r="20" spans="2:19" ht="12.75" customHeight="1" x14ac:dyDescent="0.2"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</row>
    <row r="21" spans="2:19" ht="12.75" customHeight="1" x14ac:dyDescent="0.2">
      <c r="B21" s="38" t="s">
        <v>132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2:19" ht="12.75" customHeight="1" x14ac:dyDescent="0.2">
      <c r="B22" s="38" t="s">
        <v>131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</row>
    <row r="23" spans="2:19" ht="12.75" customHeight="1" x14ac:dyDescent="0.2">
      <c r="B23" s="38"/>
      <c r="C23" s="38"/>
      <c r="D23" s="38"/>
      <c r="E23" s="38"/>
      <c r="F23" s="38"/>
      <c r="G23" s="41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</row>
    <row r="24" spans="2:19" ht="12.75" customHeight="1" x14ac:dyDescent="0.2">
      <c r="B24" s="46" t="s">
        <v>133</v>
      </c>
      <c r="C24" s="46"/>
      <c r="D24" s="46"/>
      <c r="E24" s="46"/>
      <c r="F24" s="46"/>
      <c r="G24" s="46"/>
      <c r="H24" s="46"/>
      <c r="I24" s="46"/>
      <c r="J24" s="46">
        <f t="shared" ref="J24:L24" si="2">+J15/J9</f>
        <v>0.34974457429048417</v>
      </c>
      <c r="K24" s="46">
        <f t="shared" si="2"/>
        <v>0.34587519260400618</v>
      </c>
      <c r="L24" s="46">
        <f t="shared" si="2"/>
        <v>0.33219972067039105</v>
      </c>
      <c r="M24" s="46">
        <f>+M15/M9</f>
        <v>0.33492405063291142</v>
      </c>
      <c r="N24" s="46"/>
      <c r="O24" s="46"/>
      <c r="P24" s="46"/>
      <c r="Q24" s="46"/>
      <c r="R24" s="46"/>
      <c r="S24" s="46"/>
    </row>
  </sheetData>
  <hyperlinks>
    <hyperlink ref="A1" location="Main!A1" display="Main" xr:uid="{0F09F7CC-16A8-420D-8EDD-1AD2A1928F2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C41BC-4A60-4830-ACA0-A2C4FCC2044F}">
  <dimension ref="A1:R5"/>
  <sheetViews>
    <sheetView workbookViewId="0">
      <selection activeCell="B5" sqref="B5"/>
    </sheetView>
  </sheetViews>
  <sheetFormatPr defaultRowHeight="12.75" x14ac:dyDescent="0.2"/>
  <cols>
    <col min="1" max="1" width="5.28515625" style="34" bestFit="1" customWidth="1"/>
    <col min="2" max="2" width="17" style="34" bestFit="1" customWidth="1"/>
    <col min="3" max="16384" width="9.140625" style="34"/>
  </cols>
  <sheetData>
    <row r="1" spans="1:18" ht="14.25" x14ac:dyDescent="0.2">
      <c r="A1" s="65" t="s">
        <v>157</v>
      </c>
    </row>
    <row r="2" spans="1:18" s="70" customFormat="1" x14ac:dyDescent="0.2">
      <c r="C2" s="14" t="s">
        <v>118</v>
      </c>
      <c r="D2" s="14" t="s">
        <v>117</v>
      </c>
      <c r="E2" s="14" t="s">
        <v>116</v>
      </c>
      <c r="F2" s="14" t="s">
        <v>115</v>
      </c>
      <c r="G2" s="14" t="s">
        <v>70</v>
      </c>
      <c r="H2" s="14" t="s">
        <v>69</v>
      </c>
      <c r="I2" s="14" t="s">
        <v>68</v>
      </c>
      <c r="J2" s="14" t="s">
        <v>67</v>
      </c>
      <c r="K2" s="14" t="s">
        <v>25</v>
      </c>
      <c r="L2" s="14" t="s">
        <v>64</v>
      </c>
      <c r="M2" s="14" t="s">
        <v>65</v>
      </c>
      <c r="N2" s="14" t="s">
        <v>66</v>
      </c>
      <c r="O2" s="14" t="s">
        <v>6</v>
      </c>
      <c r="P2" s="14" t="s">
        <v>106</v>
      </c>
      <c r="Q2" s="14" t="s">
        <v>109</v>
      </c>
      <c r="R2" s="67" t="s">
        <v>139</v>
      </c>
    </row>
    <row r="3" spans="1:18" x14ac:dyDescent="0.2">
      <c r="B3" s="20" t="s">
        <v>80</v>
      </c>
      <c r="C3" s="35">
        <v>1047</v>
      </c>
      <c r="D3" s="35">
        <v>4628</v>
      </c>
      <c r="E3" s="35">
        <v>4990</v>
      </c>
      <c r="F3" s="35">
        <v>5541</v>
      </c>
      <c r="G3" s="35">
        <v>5821</v>
      </c>
      <c r="H3" s="35">
        <v>6276</v>
      </c>
      <c r="I3" s="35">
        <v>6868</v>
      </c>
      <c r="J3" s="35">
        <v>7315</v>
      </c>
      <c r="K3" s="35">
        <v>7454</v>
      </c>
      <c r="L3" s="35">
        <v>8031</v>
      </c>
      <c r="M3" s="35">
        <v>9192</v>
      </c>
      <c r="N3" s="35">
        <v>9192</v>
      </c>
      <c r="O3" s="35">
        <v>9574</v>
      </c>
      <c r="P3" s="35">
        <v>10347</v>
      </c>
      <c r="Q3" s="35">
        <v>11353</v>
      </c>
      <c r="R3" s="35">
        <v>11955</v>
      </c>
    </row>
    <row r="4" spans="1:18" x14ac:dyDescent="0.2">
      <c r="B4" s="17" t="s">
        <v>14</v>
      </c>
      <c r="C4" s="36">
        <v>-974</v>
      </c>
      <c r="D4" s="36">
        <v>-1398</v>
      </c>
      <c r="E4" s="36">
        <v>-644</v>
      </c>
      <c r="F4" s="36">
        <v>-890</v>
      </c>
      <c r="G4" s="36">
        <v>-931</v>
      </c>
      <c r="H4" s="36">
        <v>-858</v>
      </c>
      <c r="I4" s="36">
        <v>-440</v>
      </c>
      <c r="J4" s="36">
        <v>-186</v>
      </c>
      <c r="K4" s="36">
        <v>191</v>
      </c>
      <c r="L4" s="36">
        <v>395</v>
      </c>
      <c r="M4" s="36">
        <v>266</v>
      </c>
      <c r="N4" s="36">
        <v>864</v>
      </c>
      <c r="O4" s="36">
        <v>900</v>
      </c>
      <c r="P4" s="36">
        <v>1172</v>
      </c>
      <c r="Q4" s="36">
        <v>1947</v>
      </c>
      <c r="R4" s="36">
        <v>2093</v>
      </c>
    </row>
    <row r="5" spans="1:18" s="71" customFormat="1" x14ac:dyDescent="0.2">
      <c r="B5" s="72" t="s">
        <v>166</v>
      </c>
      <c r="D5" s="71">
        <f>+D3/C3-1</f>
        <v>3.4202483285577845</v>
      </c>
      <c r="E5" s="71">
        <f t="shared" ref="E5:R5" si="0">+E3/D3-1</f>
        <v>7.821953327571296E-2</v>
      </c>
      <c r="F5" s="71">
        <f t="shared" si="0"/>
        <v>0.11042084168336674</v>
      </c>
      <c r="G5" s="71">
        <f t="shared" si="0"/>
        <v>5.0532394874571285E-2</v>
      </c>
      <c r="H5" s="71">
        <f t="shared" si="0"/>
        <v>7.8165263700395116E-2</v>
      </c>
      <c r="I5" s="71">
        <f t="shared" si="0"/>
        <v>9.432759719566608E-2</v>
      </c>
      <c r="J5" s="71">
        <f t="shared" si="0"/>
        <v>6.5084449621432672E-2</v>
      </c>
      <c r="K5" s="71">
        <f t="shared" si="0"/>
        <v>1.900205058099802E-2</v>
      </c>
      <c r="L5" s="71">
        <f t="shared" si="0"/>
        <v>7.7408103031929132E-2</v>
      </c>
      <c r="M5" s="71">
        <f t="shared" si="0"/>
        <v>0.14456481135599542</v>
      </c>
      <c r="N5" s="71">
        <f t="shared" si="0"/>
        <v>0</v>
      </c>
      <c r="O5" s="71">
        <f t="shared" si="0"/>
        <v>4.155787641427322E-2</v>
      </c>
      <c r="P5" s="71">
        <f t="shared" si="0"/>
        <v>8.0739502820137865E-2</v>
      </c>
      <c r="Q5" s="71">
        <f t="shared" si="0"/>
        <v>9.7226249154344302E-2</v>
      </c>
      <c r="R5" s="71">
        <f t="shared" si="0"/>
        <v>5.3025631991544087E-2</v>
      </c>
    </row>
  </sheetData>
  <hyperlinks>
    <hyperlink ref="A1" location="Main!A1" display="Main" xr:uid="{75F38756-D346-49B1-BDE2-FBA391AB53E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Advertising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Fidel</cp:lastModifiedBy>
  <dcterms:created xsi:type="dcterms:W3CDTF">2024-03-04T18:38:27Z</dcterms:created>
  <dcterms:modified xsi:type="dcterms:W3CDTF">2025-04-06T05:57:40Z</dcterms:modified>
</cp:coreProperties>
</file>