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13_ncr:1_{39A7B0BA-8858-46F8-8EA0-7E1DF35D4738}" xr6:coauthVersionLast="47" xr6:coauthVersionMax="47" xr10:uidLastSave="{00000000-0000-0000-0000-000000000000}"/>
  <bookViews>
    <workbookView xWindow="-120" yWindow="-120" windowWidth="29040" windowHeight="15840" activeTab="2" xr2:uid="{C7F6BE25-719C-48B1-8F33-89D1A7086BB2}"/>
  </bookViews>
  <sheets>
    <sheet name="Main" sheetId="1" r:id="rId1"/>
    <sheet name="Model" sheetId="2" r:id="rId2"/>
    <sheet name="Sheet1" sheetId="3" r:id="rId3"/>
  </sheets>
  <definedNames>
    <definedName name="_xlnm.Print_Area" localSheetId="2">Sheet1!$A$1:$H$49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3" l="1"/>
  <c r="S48" i="3"/>
  <c r="P48" i="3"/>
  <c r="M48" i="3"/>
  <c r="J48" i="3"/>
  <c r="G48" i="3"/>
  <c r="S46" i="3"/>
  <c r="P46" i="3"/>
  <c r="M46" i="3"/>
  <c r="J46" i="3"/>
  <c r="G46" i="3"/>
  <c r="S45" i="3"/>
  <c r="P45" i="3"/>
  <c r="M45" i="3"/>
  <c r="J45" i="3"/>
  <c r="G45" i="3"/>
  <c r="AA7" i="3"/>
  <c r="AA6" i="3"/>
  <c r="AA4" i="3"/>
  <c r="X4" i="3"/>
  <c r="V4" i="3"/>
  <c r="T4" i="3"/>
  <c r="P4" i="3"/>
  <c r="N4" i="3"/>
  <c r="L4" i="3"/>
  <c r="J4" i="3"/>
  <c r="H4" i="3"/>
  <c r="AA8" i="3"/>
  <c r="X8" i="3"/>
  <c r="X7" i="3"/>
  <c r="X6" i="3"/>
  <c r="V8" i="3"/>
  <c r="V7" i="3"/>
  <c r="V6" i="3"/>
  <c r="T8" i="3"/>
  <c r="T7" i="3"/>
  <c r="T6" i="3"/>
  <c r="R8" i="3"/>
  <c r="R7" i="3"/>
  <c r="R6" i="3"/>
  <c r="P8" i="3"/>
  <c r="P7" i="3"/>
  <c r="P6" i="3"/>
  <c r="N8" i="3"/>
  <c r="N7" i="3"/>
  <c r="N6" i="3"/>
  <c r="L8" i="3"/>
  <c r="L7" i="3"/>
  <c r="L6" i="3"/>
  <c r="J8" i="3"/>
  <c r="J7" i="3"/>
  <c r="J6" i="3"/>
  <c r="H8" i="3"/>
  <c r="H7" i="3"/>
  <c r="H6" i="3"/>
  <c r="AA5" i="3"/>
  <c r="H5" i="3"/>
  <c r="J5" i="3"/>
  <c r="L5" i="3"/>
  <c r="N5" i="3"/>
  <c r="P5" i="3"/>
  <c r="R5" i="3"/>
  <c r="T5" i="3"/>
  <c r="V5" i="3"/>
  <c r="X5" i="3"/>
  <c r="I3" i="3"/>
  <c r="K3" i="3" s="1"/>
  <c r="M3" i="3" s="1"/>
  <c r="O3" i="3" s="1"/>
  <c r="Q3" i="3" s="1"/>
  <c r="S3" i="3" s="1"/>
  <c r="U3" i="3" s="1"/>
  <c r="W3" i="3" s="1"/>
  <c r="Y3" i="3" s="1"/>
  <c r="O36" i="3"/>
  <c r="N36" i="3"/>
  <c r="M36" i="3"/>
  <c r="L36" i="3"/>
  <c r="K36" i="3"/>
  <c r="J36" i="3"/>
  <c r="I36" i="3"/>
  <c r="H36" i="3"/>
  <c r="G36" i="3"/>
  <c r="P36" i="3"/>
  <c r="R29" i="3"/>
  <c r="R22" i="3"/>
  <c r="R15" i="3"/>
  <c r="S41" i="3"/>
  <c r="S43" i="3"/>
  <c r="R28" i="3"/>
  <c r="R21" i="3"/>
  <c r="R14" i="3"/>
  <c r="G35" i="3"/>
  <c r="H35" i="3"/>
  <c r="I35" i="3"/>
  <c r="J35" i="3"/>
  <c r="K35" i="3"/>
  <c r="L35" i="3"/>
  <c r="O35" i="3"/>
  <c r="N35" i="3"/>
  <c r="M35" i="3"/>
  <c r="P35" i="3"/>
  <c r="S44" i="3" l="1"/>
  <c r="R35" i="3"/>
  <c r="R36" i="3"/>
  <c r="P43" i="3"/>
  <c r="P41" i="3"/>
  <c r="R27" i="3"/>
  <c r="R20" i="3"/>
  <c r="R13" i="3"/>
  <c r="G34" i="3"/>
  <c r="J34" i="3"/>
  <c r="I34" i="3"/>
  <c r="H34" i="3"/>
  <c r="M34" i="3"/>
  <c r="L34" i="3"/>
  <c r="K34" i="3"/>
  <c r="O34" i="3"/>
  <c r="N34" i="3"/>
  <c r="O33" i="3"/>
  <c r="N33" i="3"/>
  <c r="M33" i="3"/>
  <c r="L33" i="3"/>
  <c r="K33" i="3"/>
  <c r="J33" i="3"/>
  <c r="I33" i="3"/>
  <c r="H33" i="3"/>
  <c r="G33" i="3"/>
  <c r="O32" i="3"/>
  <c r="N32" i="3"/>
  <c r="M32" i="3"/>
  <c r="L32" i="3"/>
  <c r="K32" i="3"/>
  <c r="J32" i="3"/>
  <c r="I32" i="3"/>
  <c r="H32" i="3"/>
  <c r="G32" i="3"/>
  <c r="P32" i="3"/>
  <c r="P33" i="3"/>
  <c r="P34" i="3"/>
  <c r="M42" i="3"/>
  <c r="M41" i="3"/>
  <c r="R26" i="3"/>
  <c r="R19" i="3"/>
  <c r="R12" i="3"/>
  <c r="J42" i="3"/>
  <c r="J41" i="3"/>
  <c r="H31" i="3"/>
  <c r="I31" i="3" s="1"/>
  <c r="J31" i="3" s="1"/>
  <c r="K31" i="3" s="1"/>
  <c r="L31" i="3" s="1"/>
  <c r="M31" i="3" s="1"/>
  <c r="N31" i="3" s="1"/>
  <c r="O31" i="3" s="1"/>
  <c r="P31" i="3" s="1"/>
  <c r="H24" i="3"/>
  <c r="I24" i="3" s="1"/>
  <c r="J24" i="3" s="1"/>
  <c r="K24" i="3" s="1"/>
  <c r="L24" i="3" s="1"/>
  <c r="M24" i="3" s="1"/>
  <c r="N24" i="3" s="1"/>
  <c r="O24" i="3" s="1"/>
  <c r="P24" i="3" s="1"/>
  <c r="R25" i="3"/>
  <c r="R18" i="3"/>
  <c r="R11" i="3"/>
  <c r="H17" i="3"/>
  <c r="I17" i="3" s="1"/>
  <c r="J17" i="3" s="1"/>
  <c r="K17" i="3" s="1"/>
  <c r="L17" i="3" s="1"/>
  <c r="M17" i="3" s="1"/>
  <c r="N17" i="3" s="1"/>
  <c r="O17" i="3" s="1"/>
  <c r="P17" i="3" s="1"/>
  <c r="H10" i="3"/>
  <c r="I10" i="3" s="1"/>
  <c r="J10" i="3" s="1"/>
  <c r="K10" i="3" s="1"/>
  <c r="L10" i="3" s="1"/>
  <c r="M10" i="3" s="1"/>
  <c r="N10" i="3" s="1"/>
  <c r="O10" i="3" s="1"/>
  <c r="P10" i="3" s="1"/>
  <c r="G43" i="3"/>
  <c r="G41" i="3"/>
  <c r="I59" i="2"/>
  <c r="I76" i="2"/>
  <c r="I77" i="2" s="1"/>
  <c r="I75" i="2"/>
  <c r="I74" i="2"/>
  <c r="I71" i="2"/>
  <c r="I68" i="2"/>
  <c r="I66" i="2"/>
  <c r="I61" i="2"/>
  <c r="H59" i="2"/>
  <c r="H80" i="2"/>
  <c r="G80" i="2"/>
  <c r="G83" i="2"/>
  <c r="G82" i="2"/>
  <c r="H85" i="2"/>
  <c r="H76" i="2"/>
  <c r="H77" i="2" s="1"/>
  <c r="H75" i="2"/>
  <c r="H74" i="2"/>
  <c r="H71" i="2"/>
  <c r="H68" i="2"/>
  <c r="H66" i="2"/>
  <c r="H61" i="2"/>
  <c r="C85" i="2"/>
  <c r="G59" i="2"/>
  <c r="G76" i="2"/>
  <c r="G77" i="2" s="1"/>
  <c r="G75" i="2"/>
  <c r="G74" i="2"/>
  <c r="G71" i="2"/>
  <c r="G68" i="2"/>
  <c r="G66" i="2"/>
  <c r="G61" i="2"/>
  <c r="E80" i="2"/>
  <c r="F80" i="2"/>
  <c r="S49" i="3" l="1"/>
  <c r="M44" i="3"/>
  <c r="P44" i="3"/>
  <c r="P49" i="3" s="1"/>
  <c r="R34" i="3"/>
  <c r="J44" i="3"/>
  <c r="R33" i="3"/>
  <c r="J49" i="3" s="1"/>
  <c r="R32" i="3"/>
  <c r="G44" i="3"/>
  <c r="G85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F85" i="2"/>
  <c r="B85" i="2"/>
  <c r="F59" i="2"/>
  <c r="E59" i="2"/>
  <c r="E75" i="2"/>
  <c r="E74" i="2"/>
  <c r="E71" i="2"/>
  <c r="F71" i="2"/>
  <c r="M49" i="3" l="1"/>
  <c r="G49" i="3"/>
  <c r="F75" i="2"/>
  <c r="F74" i="2"/>
  <c r="E66" i="2"/>
  <c r="E61" i="2"/>
  <c r="E68" i="2" s="1"/>
  <c r="E76" i="2" s="1"/>
  <c r="E77" i="2" s="1"/>
  <c r="F66" i="2"/>
  <c r="F61" i="2"/>
  <c r="F68" i="2" s="1"/>
  <c r="F76" i="2" l="1"/>
  <c r="F77" i="2" s="1"/>
  <c r="R54" i="2"/>
  <c r="R57" i="2" s="1"/>
  <c r="S38" i="2"/>
  <c r="S33" i="2"/>
  <c r="S34" i="2" s="1"/>
  <c r="S29" i="2"/>
  <c r="S30" i="2" s="1"/>
  <c r="S50" i="2"/>
  <c r="R38" i="2"/>
  <c r="R33" i="2"/>
  <c r="R34" i="2" s="1"/>
  <c r="R29" i="2"/>
  <c r="R30" i="2" s="1"/>
  <c r="R45" i="2" s="1"/>
  <c r="R50" i="2"/>
  <c r="Q40" i="2"/>
  <c r="Q37" i="2"/>
  <c r="Q36" i="2"/>
  <c r="Q32" i="2"/>
  <c r="Q31" i="2"/>
  <c r="Q28" i="2"/>
  <c r="Q50" i="2" s="1"/>
  <c r="Q5" i="2"/>
  <c r="AA50" i="2"/>
  <c r="AA38" i="2"/>
  <c r="AA33" i="2"/>
  <c r="AA34" i="2" s="1"/>
  <c r="AA29" i="2"/>
  <c r="AA30" i="2" s="1"/>
  <c r="AA45" i="2" s="1"/>
  <c r="M5" i="2"/>
  <c r="L5" i="2"/>
  <c r="K5" i="2"/>
  <c r="J5" i="2"/>
  <c r="I5" i="2"/>
  <c r="H5" i="2"/>
  <c r="G5" i="2"/>
  <c r="F5" i="2"/>
  <c r="I28" i="2"/>
  <c r="M50" i="2" s="1"/>
  <c r="L50" i="2"/>
  <c r="K50" i="2"/>
  <c r="J50" i="2"/>
  <c r="H50" i="2"/>
  <c r="G50" i="2"/>
  <c r="F50" i="2"/>
  <c r="I40" i="2"/>
  <c r="I36" i="2"/>
  <c r="I32" i="2"/>
  <c r="I31" i="2"/>
  <c r="H38" i="2"/>
  <c r="H33" i="2"/>
  <c r="H34" i="2" s="1"/>
  <c r="H29" i="2"/>
  <c r="H30" i="2" s="1"/>
  <c r="H45" i="2" s="1"/>
  <c r="G38" i="2"/>
  <c r="G33" i="2"/>
  <c r="G34" i="2" s="1"/>
  <c r="G29" i="2"/>
  <c r="G30" i="2" s="1"/>
  <c r="G45" i="2" s="1"/>
  <c r="F38" i="2"/>
  <c r="F33" i="2"/>
  <c r="F34" i="2" s="1"/>
  <c r="F29" i="2"/>
  <c r="F30" i="2" s="1"/>
  <c r="E40" i="2"/>
  <c r="E37" i="2"/>
  <c r="E36" i="2"/>
  <c r="E32" i="2"/>
  <c r="E31" i="2"/>
  <c r="E28" i="2"/>
  <c r="Y50" i="2"/>
  <c r="X50" i="2"/>
  <c r="W29" i="2"/>
  <c r="W30" i="2" s="1"/>
  <c r="W38" i="2"/>
  <c r="W33" i="2"/>
  <c r="W34" i="2" s="1"/>
  <c r="X38" i="2"/>
  <c r="X33" i="2"/>
  <c r="X34" i="2" s="1"/>
  <c r="X29" i="2"/>
  <c r="X30" i="2" s="1"/>
  <c r="N5" i="2"/>
  <c r="D38" i="2"/>
  <c r="D33" i="2"/>
  <c r="D34" i="2" s="1"/>
  <c r="D29" i="2"/>
  <c r="C38" i="2"/>
  <c r="C33" i="2"/>
  <c r="C34" i="2" s="1"/>
  <c r="C29" i="2"/>
  <c r="C30" i="2" s="1"/>
  <c r="B38" i="2"/>
  <c r="B33" i="2"/>
  <c r="B34" i="2" s="1"/>
  <c r="B29" i="2"/>
  <c r="B30" i="2" s="1"/>
  <c r="P5" i="2"/>
  <c r="O5" i="2"/>
  <c r="Z50" i="2"/>
  <c r="Z38" i="2"/>
  <c r="Z33" i="2"/>
  <c r="Z34" i="2" s="1"/>
  <c r="Z29" i="2"/>
  <c r="Z30" i="2" s="1"/>
  <c r="Y38" i="2"/>
  <c r="Y37" i="2"/>
  <c r="I37" i="2" s="1"/>
  <c r="Y33" i="2"/>
  <c r="Y34" i="2" s="1"/>
  <c r="Y29" i="2"/>
  <c r="Y30" i="2" s="1"/>
  <c r="M38" i="2"/>
  <c r="M33" i="2"/>
  <c r="M34" i="2" s="1"/>
  <c r="M29" i="2"/>
  <c r="M30" i="2" s="1"/>
  <c r="J38" i="2"/>
  <c r="J33" i="2"/>
  <c r="J34" i="2" s="1"/>
  <c r="J29" i="2"/>
  <c r="J30" i="2" s="1"/>
  <c r="J45" i="2" s="1"/>
  <c r="N38" i="2"/>
  <c r="N33" i="2"/>
  <c r="N34" i="2" s="1"/>
  <c r="N29" i="2"/>
  <c r="N30" i="2" s="1"/>
  <c r="N50" i="2"/>
  <c r="O50" i="2"/>
  <c r="K38" i="2"/>
  <c r="K33" i="2"/>
  <c r="K34" i="2" s="1"/>
  <c r="K29" i="2"/>
  <c r="K30" i="2" s="1"/>
  <c r="O33" i="2"/>
  <c r="O29" i="2"/>
  <c r="P50" i="2"/>
  <c r="E29" i="2" l="1"/>
  <c r="E30" i="2" s="1"/>
  <c r="E45" i="2" s="1"/>
  <c r="E38" i="2"/>
  <c r="E33" i="2"/>
  <c r="E34" i="2" s="1"/>
  <c r="I33" i="2"/>
  <c r="I34" i="2" s="1"/>
  <c r="I38" i="2"/>
  <c r="D30" i="2"/>
  <c r="D45" i="2" s="1"/>
  <c r="B35" i="2"/>
  <c r="B46" i="2" s="1"/>
  <c r="I29" i="2"/>
  <c r="I30" i="2" s="1"/>
  <c r="I45" i="2" s="1"/>
  <c r="I50" i="2"/>
  <c r="S45" i="2"/>
  <c r="S35" i="2"/>
  <c r="R35" i="2"/>
  <c r="AA35" i="2"/>
  <c r="H35" i="2"/>
  <c r="G35" i="2"/>
  <c r="G46" i="2" s="1"/>
  <c r="F35" i="2"/>
  <c r="F45" i="2"/>
  <c r="W35" i="2"/>
  <c r="W39" i="2" s="1"/>
  <c r="W45" i="2"/>
  <c r="X35" i="2"/>
  <c r="X45" i="2"/>
  <c r="C35" i="2"/>
  <c r="C46" i="2" s="1"/>
  <c r="C45" i="2"/>
  <c r="B45" i="2"/>
  <c r="M35" i="2"/>
  <c r="M39" i="2" s="1"/>
  <c r="Z35" i="2"/>
  <c r="Z46" i="2" s="1"/>
  <c r="Z45" i="2"/>
  <c r="Y45" i="2"/>
  <c r="Y35" i="2"/>
  <c r="M45" i="2"/>
  <c r="J35" i="2"/>
  <c r="N45" i="2"/>
  <c r="N35" i="2"/>
  <c r="K45" i="2"/>
  <c r="K35" i="2"/>
  <c r="O34" i="2"/>
  <c r="O30" i="2"/>
  <c r="L38" i="2"/>
  <c r="L33" i="2"/>
  <c r="L34" i="2" s="1"/>
  <c r="L29" i="2"/>
  <c r="L30" i="2" s="1"/>
  <c r="D35" i="2" l="1"/>
  <c r="D46" i="2" s="1"/>
  <c r="I35" i="2"/>
  <c r="E35" i="2"/>
  <c r="E39" i="2" s="1"/>
  <c r="E41" i="2" s="1"/>
  <c r="E42" i="2" s="1"/>
  <c r="S46" i="2"/>
  <c r="S39" i="2"/>
  <c r="S41" i="2" s="1"/>
  <c r="R46" i="2"/>
  <c r="R39" i="2"/>
  <c r="AA46" i="2"/>
  <c r="AA39" i="2"/>
  <c r="H39" i="2"/>
  <c r="H46" i="2"/>
  <c r="G39" i="2"/>
  <c r="G48" i="2" s="1"/>
  <c r="F39" i="2"/>
  <c r="F46" i="2"/>
  <c r="W46" i="2"/>
  <c r="W48" i="2"/>
  <c r="W41" i="2"/>
  <c r="X46" i="2"/>
  <c r="X39" i="2"/>
  <c r="C39" i="2"/>
  <c r="C48" i="2" s="1"/>
  <c r="B39" i="2"/>
  <c r="B48" i="2" s="1"/>
  <c r="M46" i="2"/>
  <c r="Z39" i="2"/>
  <c r="Y46" i="2"/>
  <c r="Y39" i="2"/>
  <c r="M48" i="2"/>
  <c r="M41" i="2"/>
  <c r="J46" i="2"/>
  <c r="J39" i="2"/>
  <c r="N46" i="2"/>
  <c r="N39" i="2"/>
  <c r="K46" i="2"/>
  <c r="K39" i="2"/>
  <c r="O35" i="2"/>
  <c r="O39" i="2" s="1"/>
  <c r="O48" i="2" s="1"/>
  <c r="O45" i="2"/>
  <c r="L35" i="2"/>
  <c r="L46" i="2" s="1"/>
  <c r="L45" i="2"/>
  <c r="P38" i="2"/>
  <c r="Q38" i="2" s="1"/>
  <c r="P33" i="2"/>
  <c r="P29" i="2"/>
  <c r="Z3" i="2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C7" i="1"/>
  <c r="C6" i="1"/>
  <c r="C9" i="1" s="1"/>
  <c r="E46" i="2" l="1"/>
  <c r="D39" i="2"/>
  <c r="D48" i="2" s="1"/>
  <c r="G41" i="2"/>
  <c r="G47" i="2" s="1"/>
  <c r="P34" i="2"/>
  <c r="Q33" i="2"/>
  <c r="Q34" i="2" s="1"/>
  <c r="P30" i="2"/>
  <c r="P45" i="2" s="1"/>
  <c r="Q29" i="2"/>
  <c r="Q30" i="2" s="1"/>
  <c r="Q45" i="2" s="1"/>
  <c r="I46" i="2"/>
  <c r="I39" i="2"/>
  <c r="S48" i="2"/>
  <c r="R41" i="2"/>
  <c r="R48" i="2"/>
  <c r="AA48" i="2"/>
  <c r="AA41" i="2"/>
  <c r="H48" i="2"/>
  <c r="H41" i="2"/>
  <c r="F41" i="2"/>
  <c r="F48" i="2"/>
  <c r="W47" i="2"/>
  <c r="W42" i="2"/>
  <c r="X48" i="2"/>
  <c r="X41" i="2"/>
  <c r="E48" i="2"/>
  <c r="C41" i="2"/>
  <c r="C42" i="2" s="1"/>
  <c r="B41" i="2"/>
  <c r="B42" i="2" s="1"/>
  <c r="Y41" i="2"/>
  <c r="Y47" i="2" s="1"/>
  <c r="Y48" i="2"/>
  <c r="Z41" i="2"/>
  <c r="Z47" i="2" s="1"/>
  <c r="Z48" i="2"/>
  <c r="M47" i="2"/>
  <c r="M42" i="2"/>
  <c r="J41" i="2"/>
  <c r="J48" i="2"/>
  <c r="N48" i="2"/>
  <c r="N41" i="2"/>
  <c r="K48" i="2"/>
  <c r="K41" i="2"/>
  <c r="O46" i="2"/>
  <c r="O41" i="2"/>
  <c r="L39" i="2"/>
  <c r="D41" i="2" l="1"/>
  <c r="D42" i="2" s="1"/>
  <c r="P35" i="2"/>
  <c r="P46" i="2" s="1"/>
  <c r="C47" i="2"/>
  <c r="G42" i="2"/>
  <c r="I48" i="2"/>
  <c r="I41" i="2"/>
  <c r="Q35" i="2"/>
  <c r="S47" i="2"/>
  <c r="S42" i="2"/>
  <c r="R42" i="2"/>
  <c r="R47" i="2"/>
  <c r="AA47" i="2"/>
  <c r="AA42" i="2"/>
  <c r="H42" i="2"/>
  <c r="H47" i="2"/>
  <c r="F47" i="2"/>
  <c r="F42" i="2"/>
  <c r="X47" i="2"/>
  <c r="X42" i="2"/>
  <c r="E47" i="2"/>
  <c r="B47" i="2"/>
  <c r="Z42" i="2"/>
  <c r="Y42" i="2"/>
  <c r="J47" i="2"/>
  <c r="J42" i="2"/>
  <c r="N47" i="2"/>
  <c r="N42" i="2"/>
  <c r="K42" i="2"/>
  <c r="K47" i="2"/>
  <c r="L41" i="2"/>
  <c r="L42" i="2" s="1"/>
  <c r="L48" i="2"/>
  <c r="O47" i="2"/>
  <c r="O42" i="2"/>
  <c r="P39" i="2" l="1"/>
  <c r="P41" i="2" s="1"/>
  <c r="P47" i="2" s="1"/>
  <c r="D47" i="2"/>
  <c r="I47" i="2"/>
  <c r="I42" i="2"/>
  <c r="Q46" i="2"/>
  <c r="Q39" i="2"/>
  <c r="L47" i="2"/>
  <c r="P42" i="2" l="1"/>
  <c r="Q41" i="2"/>
  <c r="Q48" i="2"/>
  <c r="Q47" i="2" l="1"/>
  <c r="Q4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Hesselberth</author>
  </authors>
  <commentList>
    <comment ref="AB41" authorId="0" shapeId="0" xr:uid="{39157C77-4291-4C1A-80C7-59FE933C2320}">
      <text>
        <r>
          <rPr>
            <b/>
            <sz val="9"/>
            <color indexed="81"/>
            <rFont val="Tahoma"/>
            <family val="2"/>
          </rPr>
          <t>Dennis Hesselberth:</t>
        </r>
        <r>
          <rPr>
            <sz val="9"/>
            <color indexed="81"/>
            <rFont val="Tahoma"/>
            <family val="2"/>
          </rPr>
          <t xml:space="preserve">
Outlook 2024
Net income slightly below 2023
</t>
        </r>
      </text>
    </comment>
  </commentList>
</comments>
</file>

<file path=xl/sharedStrings.xml><?xml version="1.0" encoding="utf-8"?>
<sst xmlns="http://schemas.openxmlformats.org/spreadsheetml/2006/main" count="215" uniqueCount="118">
  <si>
    <t>Hellofresh</t>
  </si>
  <si>
    <t>Price</t>
  </si>
  <si>
    <t>Shares</t>
  </si>
  <si>
    <t>MC</t>
  </si>
  <si>
    <t>Cash</t>
  </si>
  <si>
    <t>Debt</t>
  </si>
  <si>
    <t>EV</t>
  </si>
  <si>
    <t>(HFG)</t>
  </si>
  <si>
    <t>(In MEUR)</t>
  </si>
  <si>
    <t>Q122</t>
  </si>
  <si>
    <t>Q222</t>
  </si>
  <si>
    <t>Q322</t>
  </si>
  <si>
    <t>Q422</t>
  </si>
  <si>
    <t>Q123</t>
  </si>
  <si>
    <t>Q223</t>
  </si>
  <si>
    <t>Q323</t>
  </si>
  <si>
    <t>Q423</t>
  </si>
  <si>
    <t>Revenue</t>
  </si>
  <si>
    <t>COGS</t>
  </si>
  <si>
    <t>G&amp;A</t>
  </si>
  <si>
    <t>Other</t>
  </si>
  <si>
    <t>Operating expense</t>
  </si>
  <si>
    <t>Operating income</t>
  </si>
  <si>
    <t>Interest income</t>
  </si>
  <si>
    <t>Interest expense</t>
  </si>
  <si>
    <t>Pretax</t>
  </si>
  <si>
    <t>Taxes</t>
  </si>
  <si>
    <t>Net income</t>
  </si>
  <si>
    <t>EPS</t>
  </si>
  <si>
    <t>Gross profit</t>
  </si>
  <si>
    <t>Gross margin</t>
  </si>
  <si>
    <t>Operating margin</t>
  </si>
  <si>
    <t>Net margin</t>
  </si>
  <si>
    <t>Tax rate</t>
  </si>
  <si>
    <t>Revenue y/y</t>
  </si>
  <si>
    <t>N/A</t>
  </si>
  <si>
    <t>Active customers</t>
  </si>
  <si>
    <t xml:space="preserve">Avg order value  </t>
  </si>
  <si>
    <t>Avg order value CC</t>
  </si>
  <si>
    <t>Meals</t>
  </si>
  <si>
    <t>Numbers of orders</t>
  </si>
  <si>
    <t>Orders per customer</t>
  </si>
  <si>
    <t>Active customers y/y</t>
  </si>
  <si>
    <t>Q120</t>
  </si>
  <si>
    <t>Q220</t>
  </si>
  <si>
    <t>Q320</t>
  </si>
  <si>
    <t>Q420</t>
  </si>
  <si>
    <t>Q121</t>
  </si>
  <si>
    <t>Q221</t>
  </si>
  <si>
    <t>Q321</t>
  </si>
  <si>
    <t>Q421</t>
  </si>
  <si>
    <t>USA</t>
  </si>
  <si>
    <t>International</t>
  </si>
  <si>
    <t>Marketing</t>
  </si>
  <si>
    <t>Q124</t>
  </si>
  <si>
    <t>Q224</t>
  </si>
  <si>
    <t>Q324</t>
  </si>
  <si>
    <t>Q424</t>
  </si>
  <si>
    <t>EBIT</t>
  </si>
  <si>
    <t>D&amp;A</t>
  </si>
  <si>
    <t>EBITDA</t>
  </si>
  <si>
    <t>Special Items</t>
  </si>
  <si>
    <t>SBC</t>
  </si>
  <si>
    <t>AEBITDA</t>
  </si>
  <si>
    <t>Australia</t>
  </si>
  <si>
    <t>Belgium</t>
  </si>
  <si>
    <t>Canada</t>
  </si>
  <si>
    <t>France</t>
  </si>
  <si>
    <t>Germany</t>
  </si>
  <si>
    <t>Italy</t>
  </si>
  <si>
    <t>Japan</t>
  </si>
  <si>
    <t>New Zealand</t>
  </si>
  <si>
    <t>Norway</t>
  </si>
  <si>
    <t>Philippinnes</t>
  </si>
  <si>
    <t>Sweden</t>
  </si>
  <si>
    <t>Switzerland</t>
  </si>
  <si>
    <t>United Kingdom</t>
  </si>
  <si>
    <t>United States</t>
  </si>
  <si>
    <t>Netherlands</t>
  </si>
  <si>
    <t>Ireland</t>
  </si>
  <si>
    <t>Spain</t>
  </si>
  <si>
    <t>Denmark</t>
  </si>
  <si>
    <t>Total Employees</t>
  </si>
  <si>
    <t>Net cash</t>
  </si>
  <si>
    <t>PP&amp;E</t>
  </si>
  <si>
    <t>Goodwill</t>
  </si>
  <si>
    <t>Investments</t>
  </si>
  <si>
    <t>DT</t>
  </si>
  <si>
    <t>Inventories</t>
  </si>
  <si>
    <t>A/R</t>
  </si>
  <si>
    <t>Assets</t>
  </si>
  <si>
    <t>D/T</t>
  </si>
  <si>
    <t>Provisions</t>
  </si>
  <si>
    <t>A/P</t>
  </si>
  <si>
    <t>Liabilties</t>
  </si>
  <si>
    <t>S/E</t>
  </si>
  <si>
    <t>L+S/E</t>
  </si>
  <si>
    <t>CFFO</t>
  </si>
  <si>
    <t>CapEx</t>
  </si>
  <si>
    <t>FCF</t>
  </si>
  <si>
    <t>TTM FCF</t>
  </si>
  <si>
    <t>TTM cash flow</t>
  </si>
  <si>
    <t>Buffet return</t>
  </si>
  <si>
    <t>Jet Blue</t>
  </si>
  <si>
    <t>S/O</t>
  </si>
  <si>
    <t>Jetblue</t>
  </si>
  <si>
    <t>Ryan Air</t>
  </si>
  <si>
    <t>KLM</t>
  </si>
  <si>
    <t>Easyjet</t>
  </si>
  <si>
    <t>=AVERAGE</t>
  </si>
  <si>
    <t>YEARS TO MAKE YOUR MONEY BACK</t>
  </si>
  <si>
    <t>SouthAirlines</t>
  </si>
  <si>
    <t>y/y %</t>
  </si>
  <si>
    <t>CAGR</t>
  </si>
  <si>
    <t>avg NI</t>
  </si>
  <si>
    <t>avg NI*CAGR^10</t>
  </si>
  <si>
    <t>=(Y4/G4)^(1/10)-1</t>
  </si>
  <si>
    <t>(=+R11*1,05^10)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</si>
</sst>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x"/>
    <numFmt numFmtId="167" formatCode="#,##0.0"/>
  </numFmts>
  <fonts count="1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2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1">
    <xf numFmtId="0" fontId="0" fillId="0" borderId="0" xfId="0"/>
    <xf numFmtId="0" fontId="6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1" fontId="3" fillId="0" borderId="0" xfId="0" applyNumberFormat="1" applyFont="1"/>
    <xf numFmtId="1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9" fontId="3" fillId="0" borderId="0" xfId="1" applyFont="1"/>
    <xf numFmtId="9" fontId="3" fillId="0" borderId="0" xfId="1" applyFont="1" applyAlignment="1">
      <alignment horizontal="right"/>
    </xf>
    <xf numFmtId="0" fontId="5" fillId="0" borderId="0" xfId="0" applyFont="1"/>
    <xf numFmtId="3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9" fontId="5" fillId="0" borderId="0" xfId="1" applyFont="1" applyAlignment="1">
      <alignment horizontal="left"/>
    </xf>
    <xf numFmtId="9" fontId="5" fillId="0" borderId="0" xfId="1" applyFont="1" applyAlignment="1">
      <alignment horizontal="right"/>
    </xf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" fontId="1" fillId="0" borderId="0" xfId="0" applyNumberFormat="1" applyFont="1"/>
    <xf numFmtId="1" fontId="1" fillId="0" borderId="0" xfId="0" applyNumberFormat="1" applyFont="1" applyAlignment="1">
      <alignment horizontal="right"/>
    </xf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1" fillId="0" borderId="0" xfId="0" applyFont="1"/>
    <xf numFmtId="9" fontId="3" fillId="0" borderId="0" xfId="1" applyNumberFormat="1" applyFont="1"/>
    <xf numFmtId="9" fontId="3" fillId="0" borderId="0" xfId="1" applyNumberFormat="1" applyFont="1" applyAlignment="1">
      <alignment horizontal="right"/>
    </xf>
    <xf numFmtId="9" fontId="3" fillId="0" borderId="0" xfId="0" applyNumberFormat="1" applyFont="1"/>
    <xf numFmtId="9" fontId="3" fillId="0" borderId="0" xfId="0" applyNumberFormat="1" applyFont="1" applyAlignment="1">
      <alignment horizontal="right"/>
    </xf>
    <xf numFmtId="0" fontId="3" fillId="0" borderId="0" xfId="1" applyNumberFormat="1" applyFont="1"/>
    <xf numFmtId="0" fontId="3" fillId="0" borderId="0" xfId="1" applyNumberFormat="1" applyFont="1" applyAlignment="1">
      <alignment horizontal="right"/>
    </xf>
    <xf numFmtId="0" fontId="5" fillId="0" borderId="0" xfId="1" applyNumberFormat="1" applyFont="1"/>
    <xf numFmtId="2" fontId="3" fillId="0" borderId="0" xfId="1" applyNumberFormat="1" applyFont="1"/>
    <xf numFmtId="2" fontId="1" fillId="0" borderId="0" xfId="1" applyNumberFormat="1" applyFont="1"/>
    <xf numFmtId="2" fontId="3" fillId="0" borderId="0" xfId="1" applyNumberFormat="1" applyFont="1" applyAlignment="1">
      <alignment horizontal="right"/>
    </xf>
    <xf numFmtId="14" fontId="3" fillId="0" borderId="0" xfId="0" applyNumberFormat="1" applyFont="1"/>
    <xf numFmtId="3" fontId="5" fillId="0" borderId="0" xfId="0" applyNumberFormat="1" applyFont="1"/>
    <xf numFmtId="3" fontId="1" fillId="0" borderId="0" xfId="0" applyNumberFormat="1" applyFont="1"/>
    <xf numFmtId="167" fontId="3" fillId="0" borderId="0" xfId="0" applyNumberFormat="1" applyFont="1" applyAlignment="1">
      <alignment horizontal="right"/>
    </xf>
    <xf numFmtId="4" fontId="3" fillId="0" borderId="0" xfId="0" applyNumberFormat="1" applyFont="1"/>
    <xf numFmtId="3" fontId="3" fillId="0" borderId="0" xfId="0" applyNumberFormat="1" applyFont="1"/>
    <xf numFmtId="3" fontId="1" fillId="0" borderId="0" xfId="0" applyNumberFormat="1" applyFont="1" applyAlignment="1">
      <alignment horizontal="right"/>
    </xf>
    <xf numFmtId="167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right"/>
    </xf>
    <xf numFmtId="9" fontId="1" fillId="0" borderId="0" xfId="0" applyNumberFormat="1" applyFont="1"/>
    <xf numFmtId="3" fontId="9" fillId="0" borderId="0" xfId="0" applyNumberFormat="1" applyFont="1"/>
    <xf numFmtId="164" fontId="9" fillId="0" borderId="0" xfId="0" applyNumberFormat="1" applyFont="1"/>
    <xf numFmtId="3" fontId="10" fillId="0" borderId="3" xfId="0" applyNumberFormat="1" applyFont="1" applyBorder="1"/>
    <xf numFmtId="3" fontId="9" fillId="0" borderId="1" xfId="0" applyNumberFormat="1" applyFont="1" applyBorder="1"/>
    <xf numFmtId="3" fontId="9" fillId="0" borderId="1" xfId="0" quotePrefix="1" applyNumberFormat="1" applyFont="1" applyBorder="1"/>
    <xf numFmtId="3" fontId="9" fillId="0" borderId="2" xfId="0" applyNumberFormat="1" applyFont="1" applyBorder="1"/>
    <xf numFmtId="3" fontId="9" fillId="0" borderId="4" xfId="0" applyNumberFormat="1" applyFont="1" applyBorder="1"/>
    <xf numFmtId="167" fontId="9" fillId="0" borderId="0" xfId="0" applyNumberFormat="1" applyFont="1"/>
    <xf numFmtId="0" fontId="9" fillId="0" borderId="1" xfId="0" applyNumberFormat="1" applyFont="1" applyBorder="1"/>
    <xf numFmtId="3" fontId="9" fillId="0" borderId="0" xfId="0" applyNumberFormat="1" applyFont="1" applyFill="1"/>
    <xf numFmtId="3" fontId="9" fillId="0" borderId="0" xfId="0" applyNumberFormat="1" applyFont="1" applyBorder="1"/>
    <xf numFmtId="3" fontId="11" fillId="0" borderId="1" xfId="0" applyNumberFormat="1" applyFont="1" applyBorder="1" applyAlignment="1">
      <alignment horizontal="center"/>
    </xf>
    <xf numFmtId="9" fontId="9" fillId="0" borderId="0" xfId="0" applyNumberFormat="1" applyFont="1"/>
    <xf numFmtId="9" fontId="9" fillId="0" borderId="0" xfId="0" applyNumberFormat="1" applyFont="1" applyAlignment="1">
      <alignment horizontal="center"/>
    </xf>
    <xf numFmtId="3" fontId="10" fillId="3" borderId="0" xfId="0" applyNumberFormat="1" applyFont="1" applyFill="1"/>
    <xf numFmtId="3" fontId="9" fillId="3" borderId="0" xfId="0" applyNumberFormat="1" applyFont="1" applyFill="1"/>
    <xf numFmtId="4" fontId="9" fillId="0" borderId="0" xfId="0" applyNumberFormat="1" applyFont="1"/>
    <xf numFmtId="3" fontId="9" fillId="0" borderId="5" xfId="0" applyNumberFormat="1" applyFont="1" applyBorder="1"/>
    <xf numFmtId="3" fontId="9" fillId="0" borderId="6" xfId="0" applyNumberFormat="1" applyFont="1" applyBorder="1"/>
    <xf numFmtId="3" fontId="9" fillId="2" borderId="6" xfId="0" applyNumberFormat="1" applyFont="1" applyFill="1" applyBorder="1"/>
    <xf numFmtId="3" fontId="9" fillId="0" borderId="7" xfId="0" applyNumberFormat="1" applyFont="1" applyBorder="1"/>
    <xf numFmtId="164" fontId="11" fillId="0" borderId="8" xfId="0" applyNumberFormat="1" applyFont="1" applyBorder="1"/>
    <xf numFmtId="164" fontId="9" fillId="0" borderId="9" xfId="0" applyNumberFormat="1" applyFont="1" applyBorder="1"/>
    <xf numFmtId="164" fontId="11" fillId="0" borderId="9" xfId="0" applyNumberFormat="1" applyFont="1" applyBorder="1"/>
    <xf numFmtId="164" fontId="9" fillId="2" borderId="9" xfId="0" applyNumberFormat="1" applyFont="1" applyFill="1" applyBorder="1"/>
    <xf numFmtId="164" fontId="9" fillId="0" borderId="10" xfId="0" applyNumberFormat="1" applyFont="1" applyBorder="1"/>
    <xf numFmtId="3" fontId="9" fillId="0" borderId="11" xfId="0" applyNumberFormat="1" applyFont="1" applyBorder="1" applyAlignment="1">
      <alignment horizontal="right"/>
    </xf>
    <xf numFmtId="9" fontId="9" fillId="0" borderId="12" xfId="0" applyNumberFormat="1" applyFont="1" applyBorder="1"/>
    <xf numFmtId="9" fontId="9" fillId="0" borderId="13" xfId="0" applyNumberFormat="1" applyFont="1" applyBorder="1"/>
    <xf numFmtId="3" fontId="9" fillId="2" borderId="0" xfId="0" applyNumberFormat="1" applyFont="1" applyFill="1" applyBorder="1"/>
    <xf numFmtId="164" fontId="11" fillId="0" borderId="0" xfId="0" applyNumberFormat="1" applyFont="1" applyBorder="1"/>
    <xf numFmtId="164" fontId="9" fillId="0" borderId="0" xfId="0" applyNumberFormat="1" applyFont="1" applyBorder="1"/>
    <xf numFmtId="164" fontId="9" fillId="2" borderId="0" xfId="0" applyNumberFormat="1" applyFont="1" applyFill="1" applyBorder="1"/>
    <xf numFmtId="49" fontId="9" fillId="0" borderId="0" xfId="0" applyNumberFormat="1" applyFont="1"/>
    <xf numFmtId="3" fontId="9" fillId="0" borderId="6" xfId="0" quotePrefix="1" applyNumberFormat="1" applyFont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28575</xdr:colOff>
      <xdr:row>0</xdr:row>
      <xdr:rowOff>19050</xdr:rowOff>
    </xdr:from>
    <xdr:to>
      <xdr:col>19</xdr:col>
      <xdr:colOff>28575</xdr:colOff>
      <xdr:row>107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F7C819D-DE1B-253C-7E7B-76D8CD74F256}"/>
            </a:ext>
          </a:extLst>
        </xdr:cNvPr>
        <xdr:cNvCxnSpPr/>
      </xdr:nvCxnSpPr>
      <xdr:spPr>
        <a:xfrm>
          <a:off x="13792200" y="19050"/>
          <a:ext cx="0" cy="12192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28575</xdr:colOff>
      <xdr:row>0</xdr:row>
      <xdr:rowOff>57150</xdr:rowOff>
    </xdr:from>
    <xdr:to>
      <xdr:col>27</xdr:col>
      <xdr:colOff>28575</xdr:colOff>
      <xdr:row>106</xdr:row>
      <xdr:rowOff>38100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D6C3C45-864E-4A41-9172-1E93963475A6}"/>
            </a:ext>
          </a:extLst>
        </xdr:cNvPr>
        <xdr:cNvCxnSpPr/>
      </xdr:nvCxnSpPr>
      <xdr:spPr>
        <a:xfrm>
          <a:off x="17383125" y="57150"/>
          <a:ext cx="0" cy="119157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CAF7-B70A-45E7-BE3E-41355CE48B3C}">
  <dimension ref="A1:D10"/>
  <sheetViews>
    <sheetView workbookViewId="0">
      <selection activeCell="C5" sqref="C5"/>
    </sheetView>
  </sheetViews>
  <sheetFormatPr defaultRowHeight="12.75" x14ac:dyDescent="0.2"/>
  <cols>
    <col min="1" max="1" width="25.85546875" style="14" bestFit="1" customWidth="1"/>
    <col min="2" max="16384" width="9.140625" style="14"/>
  </cols>
  <sheetData>
    <row r="1" spans="1:4" ht="34.5" x14ac:dyDescent="0.45">
      <c r="A1" s="1" t="s">
        <v>0</v>
      </c>
    </row>
    <row r="2" spans="1:4" x14ac:dyDescent="0.2">
      <c r="A2" s="14" t="s">
        <v>7</v>
      </c>
    </row>
    <row r="3" spans="1:4" x14ac:dyDescent="0.2">
      <c r="A3" s="14" t="s">
        <v>8</v>
      </c>
    </row>
    <row r="4" spans="1:4" x14ac:dyDescent="0.2">
      <c r="B4" s="14" t="s">
        <v>1</v>
      </c>
      <c r="C4" s="14">
        <v>6.7320000000000002</v>
      </c>
    </row>
    <row r="5" spans="1:4" x14ac:dyDescent="0.2">
      <c r="B5" s="14" t="s">
        <v>2</v>
      </c>
      <c r="C5" s="15">
        <v>172.3</v>
      </c>
      <c r="D5" s="17" t="s">
        <v>15</v>
      </c>
    </row>
    <row r="6" spans="1:4" x14ac:dyDescent="0.2">
      <c r="B6" s="14" t="s">
        <v>3</v>
      </c>
      <c r="C6" s="15">
        <f>+C4*C5</f>
        <v>1159.9236000000001</v>
      </c>
      <c r="D6" s="17"/>
    </row>
    <row r="7" spans="1:4" x14ac:dyDescent="0.2">
      <c r="B7" s="14" t="s">
        <v>4</v>
      </c>
      <c r="C7" s="15">
        <f>172.7+356.3+324.6</f>
        <v>853.6</v>
      </c>
      <c r="D7" s="17" t="s">
        <v>15</v>
      </c>
    </row>
    <row r="8" spans="1:4" x14ac:dyDescent="0.2">
      <c r="B8" s="14" t="s">
        <v>5</v>
      </c>
      <c r="C8" s="15">
        <v>165.1</v>
      </c>
      <c r="D8" s="17" t="s">
        <v>15</v>
      </c>
    </row>
    <row r="9" spans="1:4" x14ac:dyDescent="0.2">
      <c r="B9" s="14" t="s">
        <v>6</v>
      </c>
      <c r="C9" s="15">
        <f>+C6-C7+C8</f>
        <v>471.42360000000008</v>
      </c>
    </row>
    <row r="10" spans="1:4" x14ac:dyDescent="0.2">
      <c r="C10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8AE84-5AA8-416F-B974-C0A5515EE282}">
  <dimension ref="A1:AR109"/>
  <sheetViews>
    <sheetView workbookViewId="0">
      <pane xSplit="1" ySplit="3" topLeftCell="C55" activePane="bottomRight" state="frozen"/>
      <selection pane="topRight" activeCell="B1" sqref="B1"/>
      <selection pane="bottomLeft" activeCell="A4" sqref="A4"/>
      <selection pane="bottomRight" activeCell="K59" sqref="K59"/>
    </sheetView>
  </sheetViews>
  <sheetFormatPr defaultRowHeight="12.75" x14ac:dyDescent="0.2"/>
  <cols>
    <col min="1" max="1" width="25.85546875" style="2" bestFit="1" customWidth="1"/>
    <col min="2" max="9" width="10.140625" style="2" customWidth="1"/>
    <col min="10" max="16" width="10.140625" style="6" customWidth="1"/>
    <col min="17" max="17" width="10.140625" style="6" bestFit="1" customWidth="1"/>
    <col min="18" max="16384" width="9.140625" style="6"/>
  </cols>
  <sheetData>
    <row r="1" spans="1:44" s="2" customFormat="1" ht="34.5" x14ac:dyDescent="0.4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44" s="3" customFormat="1" x14ac:dyDescent="0.2">
      <c r="A2" s="2" t="s">
        <v>7</v>
      </c>
      <c r="B2" s="34">
        <v>43921</v>
      </c>
      <c r="C2" s="34">
        <v>44012</v>
      </c>
      <c r="D2" s="34">
        <v>44104</v>
      </c>
      <c r="E2" s="34">
        <v>44196</v>
      </c>
      <c r="F2" s="34">
        <v>44286</v>
      </c>
      <c r="G2" s="34">
        <v>44377</v>
      </c>
      <c r="H2" s="34">
        <v>44469</v>
      </c>
      <c r="I2" s="34">
        <v>44561</v>
      </c>
      <c r="J2" s="18">
        <v>44651</v>
      </c>
      <c r="K2" s="18">
        <v>44742</v>
      </c>
      <c r="L2" s="18">
        <v>44834</v>
      </c>
      <c r="M2" s="18">
        <v>44926</v>
      </c>
      <c r="N2" s="18">
        <v>45016</v>
      </c>
      <c r="O2" s="18">
        <v>45107</v>
      </c>
      <c r="P2" s="18">
        <v>45199</v>
      </c>
      <c r="Q2" s="18">
        <v>45291</v>
      </c>
      <c r="R2" s="18">
        <v>45382</v>
      </c>
      <c r="S2" s="18">
        <v>45473</v>
      </c>
      <c r="T2" s="18"/>
      <c r="U2" s="18"/>
    </row>
    <row r="3" spans="1:44" s="5" customFormat="1" x14ac:dyDescent="0.2">
      <c r="A3" s="4" t="s">
        <v>8</v>
      </c>
      <c r="B3" s="20" t="s">
        <v>43</v>
      </c>
      <c r="C3" s="20" t="s">
        <v>44</v>
      </c>
      <c r="D3" s="20" t="s">
        <v>45</v>
      </c>
      <c r="E3" s="20" t="s">
        <v>46</v>
      </c>
      <c r="F3" s="20" t="s">
        <v>47</v>
      </c>
      <c r="G3" s="20" t="s">
        <v>48</v>
      </c>
      <c r="H3" s="20" t="s">
        <v>49</v>
      </c>
      <c r="I3" s="20" t="s">
        <v>50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20" t="s">
        <v>54</v>
      </c>
      <c r="S3" s="20" t="s">
        <v>55</v>
      </c>
      <c r="T3" s="20" t="s">
        <v>56</v>
      </c>
      <c r="U3" s="20" t="s">
        <v>57</v>
      </c>
      <c r="W3" s="5">
        <v>2019</v>
      </c>
      <c r="X3" s="5">
        <v>2020</v>
      </c>
      <c r="Y3" s="5">
        <v>2021</v>
      </c>
      <c r="Z3" s="5">
        <f>+Y3+1</f>
        <v>2022</v>
      </c>
      <c r="AA3" s="5">
        <f t="shared" ref="AA3:AR3" si="0">+Z3+1</f>
        <v>2023</v>
      </c>
      <c r="AB3" s="5">
        <f t="shared" si="0"/>
        <v>2024</v>
      </c>
      <c r="AC3" s="5">
        <f t="shared" si="0"/>
        <v>2025</v>
      </c>
      <c r="AD3" s="5">
        <f t="shared" si="0"/>
        <v>2026</v>
      </c>
      <c r="AE3" s="5">
        <f t="shared" si="0"/>
        <v>2027</v>
      </c>
      <c r="AF3" s="5">
        <f t="shared" si="0"/>
        <v>2028</v>
      </c>
      <c r="AG3" s="5">
        <f t="shared" si="0"/>
        <v>2029</v>
      </c>
      <c r="AH3" s="5">
        <f t="shared" si="0"/>
        <v>2030</v>
      </c>
      <c r="AI3" s="5">
        <f t="shared" si="0"/>
        <v>2031</v>
      </c>
      <c r="AJ3" s="5">
        <f t="shared" si="0"/>
        <v>2032</v>
      </c>
      <c r="AK3" s="5">
        <f t="shared" si="0"/>
        <v>2033</v>
      </c>
      <c r="AL3" s="5">
        <f t="shared" si="0"/>
        <v>2034</v>
      </c>
      <c r="AM3" s="5">
        <f t="shared" si="0"/>
        <v>2035</v>
      </c>
      <c r="AN3" s="5">
        <f t="shared" si="0"/>
        <v>2036</v>
      </c>
      <c r="AO3" s="5">
        <f t="shared" si="0"/>
        <v>2037</v>
      </c>
      <c r="AP3" s="5">
        <f t="shared" si="0"/>
        <v>2038</v>
      </c>
      <c r="AQ3" s="5">
        <f t="shared" si="0"/>
        <v>2039</v>
      </c>
      <c r="AR3" s="5">
        <f t="shared" si="0"/>
        <v>2040</v>
      </c>
    </row>
    <row r="4" spans="1:44" s="22" customFormat="1" x14ac:dyDescent="0.2">
      <c r="A4" s="21" t="s">
        <v>36</v>
      </c>
      <c r="B4" s="21">
        <v>4.18</v>
      </c>
      <c r="C4" s="21">
        <v>4.18</v>
      </c>
      <c r="D4" s="21">
        <v>5</v>
      </c>
      <c r="E4" s="21">
        <v>5.29</v>
      </c>
      <c r="F4" s="21">
        <v>7.28</v>
      </c>
      <c r="G4" s="21">
        <v>7.68</v>
      </c>
      <c r="H4" s="21">
        <v>6.94</v>
      </c>
      <c r="I4" s="21">
        <v>7.22</v>
      </c>
      <c r="J4" s="22">
        <v>8.52</v>
      </c>
      <c r="K4" s="22">
        <v>8</v>
      </c>
      <c r="L4" s="22">
        <v>7.51</v>
      </c>
      <c r="M4" s="22">
        <v>7.11</v>
      </c>
      <c r="N4" s="22">
        <v>8.11</v>
      </c>
      <c r="O4" s="22">
        <v>7.3</v>
      </c>
      <c r="P4" s="22">
        <v>7.07</v>
      </c>
      <c r="Q4" s="22">
        <v>6.64</v>
      </c>
    </row>
    <row r="5" spans="1:44" s="8" customFormat="1" x14ac:dyDescent="0.2">
      <c r="A5" s="7" t="s">
        <v>42</v>
      </c>
      <c r="B5" s="7"/>
      <c r="C5" s="7"/>
      <c r="D5" s="7"/>
      <c r="E5" s="7"/>
      <c r="F5" s="8">
        <f t="shared" ref="F5:M5" si="1">+F4/B4-1</f>
        <v>0.74162679425837341</v>
      </c>
      <c r="G5" s="8">
        <f t="shared" si="1"/>
        <v>0.83732057416267947</v>
      </c>
      <c r="H5" s="8">
        <f t="shared" si="1"/>
        <v>0.38800000000000012</v>
      </c>
      <c r="I5" s="8">
        <f t="shared" si="1"/>
        <v>0.36483931947069936</v>
      </c>
      <c r="J5" s="8">
        <f t="shared" si="1"/>
        <v>0.17032967032967017</v>
      </c>
      <c r="K5" s="8">
        <f t="shared" si="1"/>
        <v>4.1666666666666741E-2</v>
      </c>
      <c r="L5" s="8">
        <f t="shared" si="1"/>
        <v>8.2132564841498557E-2</v>
      </c>
      <c r="M5" s="8">
        <f t="shared" si="1"/>
        <v>-1.5235457063711877E-2</v>
      </c>
      <c r="N5" s="8">
        <f>+N4/J4-1</f>
        <v>-4.8122065727699503E-2</v>
      </c>
      <c r="O5" s="8">
        <f>+O4/K4-1</f>
        <v>-8.7500000000000022E-2</v>
      </c>
      <c r="P5" s="8">
        <f>+P4/L4-1</f>
        <v>-5.8588548601864132E-2</v>
      </c>
      <c r="Q5" s="8">
        <f>+Q4/M4-1</f>
        <v>-6.6104078762306728E-2</v>
      </c>
    </row>
    <row r="6" spans="1:44" s="11" customFormat="1" x14ac:dyDescent="0.2">
      <c r="A6" s="38" t="s">
        <v>40</v>
      </c>
      <c r="B6" s="38">
        <v>14.74</v>
      </c>
      <c r="C6" s="38">
        <v>18.100000000000001</v>
      </c>
      <c r="D6" s="38">
        <v>19.489999999999998</v>
      </c>
      <c r="E6" s="38">
        <v>22</v>
      </c>
      <c r="F6" s="38">
        <v>29.28</v>
      </c>
      <c r="G6" s="38">
        <v>30.98</v>
      </c>
      <c r="H6" s="38">
        <v>27.59</v>
      </c>
      <c r="I6" s="38">
        <v>29.47</v>
      </c>
      <c r="J6" s="11">
        <v>34.57</v>
      </c>
      <c r="K6" s="11">
        <v>32.26</v>
      </c>
      <c r="L6" s="11">
        <v>29.03</v>
      </c>
      <c r="M6" s="11">
        <v>29.28</v>
      </c>
      <c r="N6" s="11">
        <v>32.82</v>
      </c>
      <c r="O6" s="11">
        <v>30</v>
      </c>
      <c r="P6" s="11">
        <v>27.99</v>
      </c>
      <c r="Q6" s="11">
        <v>28.47</v>
      </c>
      <c r="R6" s="11">
        <v>31.98</v>
      </c>
      <c r="S6" s="11">
        <v>28.91</v>
      </c>
      <c r="W6" s="11">
        <v>37.450000000000003</v>
      </c>
      <c r="X6" s="11">
        <v>74.3</v>
      </c>
      <c r="Y6" s="11">
        <v>117.32</v>
      </c>
      <c r="Z6" s="11">
        <v>125.13</v>
      </c>
      <c r="AA6" s="11">
        <v>119.27</v>
      </c>
    </row>
    <row r="7" spans="1:44" s="11" customFormat="1" x14ac:dyDescent="0.2">
      <c r="A7" s="38" t="s">
        <v>41</v>
      </c>
      <c r="B7" s="38">
        <v>3.5</v>
      </c>
      <c r="C7" s="38">
        <v>4.3</v>
      </c>
      <c r="D7" s="38">
        <v>3.9</v>
      </c>
      <c r="E7" s="38">
        <v>4.2</v>
      </c>
      <c r="F7" s="38">
        <v>4</v>
      </c>
      <c r="G7" s="38">
        <v>4</v>
      </c>
      <c r="H7" s="38">
        <v>4</v>
      </c>
      <c r="I7" s="38">
        <v>4.0999999999999996</v>
      </c>
      <c r="J7" s="11">
        <v>4</v>
      </c>
      <c r="K7" s="11">
        <v>4.03</v>
      </c>
      <c r="L7" s="11">
        <v>3.87</v>
      </c>
      <c r="M7" s="11">
        <v>4.12</v>
      </c>
      <c r="N7" s="11">
        <v>4</v>
      </c>
      <c r="O7" s="11">
        <v>4.1100000000000003</v>
      </c>
      <c r="P7" s="11">
        <v>3.96</v>
      </c>
      <c r="Q7" s="11">
        <v>4.29</v>
      </c>
    </row>
    <row r="8" spans="1:44" s="11" customFormat="1" x14ac:dyDescent="0.2">
      <c r="A8" s="38" t="s">
        <v>39</v>
      </c>
      <c r="B8" s="38">
        <v>111.3</v>
      </c>
      <c r="C8" s="38">
        <v>148.9</v>
      </c>
      <c r="D8" s="38">
        <v>162</v>
      </c>
      <c r="E8" s="38">
        <v>179</v>
      </c>
      <c r="F8" s="38">
        <v>239.1</v>
      </c>
      <c r="G8" s="38">
        <v>254.1</v>
      </c>
      <c r="H8" s="38">
        <v>227.3</v>
      </c>
      <c r="I8" s="38">
        <v>243.9</v>
      </c>
      <c r="J8" s="11">
        <v>287.3</v>
      </c>
      <c r="K8" s="11">
        <v>269.8</v>
      </c>
      <c r="L8" s="11">
        <v>243.3</v>
      </c>
      <c r="M8" s="11">
        <v>246.2</v>
      </c>
      <c r="N8" s="11">
        <v>278.5</v>
      </c>
      <c r="O8" s="11">
        <v>253.6</v>
      </c>
      <c r="P8" s="11">
        <v>236.6</v>
      </c>
      <c r="Q8" s="11">
        <v>240</v>
      </c>
      <c r="R8" s="11">
        <v>272.89999999999998</v>
      </c>
      <c r="S8" s="11">
        <v>243.8</v>
      </c>
      <c r="W8" s="11">
        <v>281.10000000000002</v>
      </c>
      <c r="X8" s="11">
        <v>601.20000000000005</v>
      </c>
      <c r="Y8" s="11">
        <v>964.3</v>
      </c>
      <c r="Z8" s="11">
        <v>1046.5</v>
      </c>
      <c r="AA8" s="11">
        <v>1008.7</v>
      </c>
    </row>
    <row r="9" spans="1:44" s="11" customFormat="1" x14ac:dyDescent="0.2">
      <c r="A9" s="38" t="s">
        <v>37</v>
      </c>
      <c r="B9" s="38">
        <v>47.4</v>
      </c>
      <c r="C9" s="38">
        <v>53.7</v>
      </c>
      <c r="D9" s="38">
        <v>49.7</v>
      </c>
      <c r="E9" s="38">
        <v>50.3</v>
      </c>
      <c r="F9" s="38">
        <v>49.3</v>
      </c>
      <c r="G9" s="38">
        <v>50.2</v>
      </c>
      <c r="H9" s="38">
        <v>51.3</v>
      </c>
      <c r="I9" s="38">
        <v>53.4</v>
      </c>
      <c r="J9" s="11">
        <v>55.1</v>
      </c>
      <c r="K9" s="11">
        <v>60.4</v>
      </c>
      <c r="L9" s="11">
        <v>63.7</v>
      </c>
      <c r="M9" s="11">
        <v>63.7</v>
      </c>
      <c r="N9" s="11">
        <v>61.2</v>
      </c>
      <c r="O9" s="11">
        <v>63.6</v>
      </c>
      <c r="P9" s="11">
        <v>64.2</v>
      </c>
      <c r="Q9" s="11">
        <v>65</v>
      </c>
      <c r="R9" s="11">
        <v>64.599999999999994</v>
      </c>
      <c r="S9" s="11">
        <v>67.099999999999994</v>
      </c>
      <c r="W9" s="11">
        <v>48.2</v>
      </c>
      <c r="X9" s="11">
        <v>50.4</v>
      </c>
      <c r="Y9" s="11">
        <v>51</v>
      </c>
      <c r="Z9" s="11">
        <v>60.5</v>
      </c>
      <c r="AA9" s="11">
        <v>63.4</v>
      </c>
    </row>
    <row r="10" spans="1:44" s="11" customFormat="1" x14ac:dyDescent="0.2">
      <c r="A10" s="38" t="s">
        <v>38</v>
      </c>
      <c r="B10" s="38">
        <v>46.8</v>
      </c>
      <c r="C10" s="38">
        <v>53.5</v>
      </c>
      <c r="D10" s="38">
        <v>51.4</v>
      </c>
      <c r="E10" s="38">
        <v>52.5</v>
      </c>
      <c r="F10" s="38">
        <v>51.6</v>
      </c>
      <c r="G10" s="38">
        <v>52.3</v>
      </c>
      <c r="H10" s="38">
        <v>50.9</v>
      </c>
      <c r="I10" s="38">
        <v>51.4</v>
      </c>
      <c r="J10" s="11">
        <v>55.1</v>
      </c>
      <c r="K10" s="11">
        <v>60.4</v>
      </c>
      <c r="L10" s="11">
        <v>63.7</v>
      </c>
      <c r="M10" s="11">
        <v>59.6</v>
      </c>
      <c r="N10" s="11">
        <v>60</v>
      </c>
      <c r="O10" s="11">
        <v>65.5</v>
      </c>
      <c r="P10" s="11">
        <v>68.5</v>
      </c>
      <c r="Q10" s="11">
        <v>67.8</v>
      </c>
      <c r="R10" s="11">
        <v>65.2</v>
      </c>
      <c r="S10" s="11">
        <v>66.599999999999994</v>
      </c>
      <c r="Y10" s="11">
        <v>51</v>
      </c>
      <c r="Z10" s="11">
        <v>60.5</v>
      </c>
      <c r="AA10" s="11">
        <v>65.2</v>
      </c>
    </row>
    <row r="11" spans="1:44" x14ac:dyDescent="0.2">
      <c r="A11" s="9" t="s">
        <v>51</v>
      </c>
    </row>
    <row r="12" spans="1:44" s="11" customFormat="1" x14ac:dyDescent="0.2">
      <c r="A12" s="38" t="s">
        <v>36</v>
      </c>
      <c r="B12" s="38">
        <v>2.64</v>
      </c>
      <c r="C12" s="38">
        <v>1.98</v>
      </c>
      <c r="D12" s="38">
        <v>2.4900000000000002</v>
      </c>
      <c r="E12" s="38">
        <v>2.61</v>
      </c>
      <c r="F12" s="38">
        <v>3.69</v>
      </c>
      <c r="G12" s="38">
        <v>3.82</v>
      </c>
      <c r="H12" s="38">
        <v>3.48</v>
      </c>
      <c r="I12" s="38">
        <v>3.52</v>
      </c>
      <c r="Q12" s="11">
        <v>3.63</v>
      </c>
    </row>
    <row r="13" spans="1:44" s="27" customFormat="1" x14ac:dyDescent="0.2">
      <c r="A13" s="24" t="s">
        <v>42</v>
      </c>
      <c r="B13" s="26"/>
      <c r="C13" s="26"/>
      <c r="D13" s="26"/>
      <c r="E13" s="26"/>
      <c r="F13" s="26"/>
      <c r="G13" s="26"/>
      <c r="H13" s="26"/>
      <c r="I13" s="26"/>
    </row>
    <row r="14" spans="1:44" s="33" customFormat="1" x14ac:dyDescent="0.2">
      <c r="A14" s="21" t="s">
        <v>40</v>
      </c>
      <c r="B14" s="31">
        <v>8.9499999999999993</v>
      </c>
      <c r="C14" s="31">
        <v>8.8699999999999992</v>
      </c>
      <c r="D14" s="31">
        <v>9.9700000000000006</v>
      </c>
      <c r="E14" s="31">
        <v>10.9</v>
      </c>
      <c r="F14" s="31">
        <v>15.1</v>
      </c>
      <c r="G14" s="31">
        <v>15.58</v>
      </c>
      <c r="H14" s="31">
        <v>14.12</v>
      </c>
      <c r="I14" s="31">
        <v>14.45</v>
      </c>
      <c r="Q14" s="33">
        <v>15.74</v>
      </c>
      <c r="R14" s="33">
        <v>18.46</v>
      </c>
      <c r="S14" s="33">
        <v>16.350000000000001</v>
      </c>
      <c r="W14" s="33">
        <v>20.74</v>
      </c>
      <c r="X14" s="33">
        <v>38.700000000000003</v>
      </c>
      <c r="Z14" s="33">
        <v>70.900000000000006</v>
      </c>
      <c r="AA14" s="33">
        <v>67.78</v>
      </c>
    </row>
    <row r="15" spans="1:44" s="33" customFormat="1" x14ac:dyDescent="0.2">
      <c r="A15" s="21" t="s">
        <v>41</v>
      </c>
      <c r="B15" s="31">
        <v>3.4</v>
      </c>
      <c r="C15" s="31">
        <v>4.5</v>
      </c>
      <c r="D15" s="31">
        <v>4</v>
      </c>
      <c r="E15" s="31">
        <v>4.2</v>
      </c>
      <c r="F15" s="31">
        <v>4.0999999999999996</v>
      </c>
      <c r="G15" s="31">
        <v>4.0999999999999996</v>
      </c>
      <c r="H15" s="31">
        <v>4.0999999999999996</v>
      </c>
      <c r="I15" s="31">
        <v>4.0999999999999996</v>
      </c>
      <c r="Q15" s="33">
        <v>4.33</v>
      </c>
    </row>
    <row r="16" spans="1:44" s="33" customFormat="1" x14ac:dyDescent="0.2">
      <c r="A16" s="21" t="s">
        <v>39</v>
      </c>
      <c r="B16" s="31">
        <v>61.3</v>
      </c>
      <c r="C16" s="31">
        <v>63.9</v>
      </c>
      <c r="D16" s="31">
        <v>72.7</v>
      </c>
      <c r="E16" s="31">
        <v>80.099999999999994</v>
      </c>
      <c r="F16" s="31">
        <v>113.9</v>
      </c>
      <c r="G16" s="31">
        <v>118.4</v>
      </c>
      <c r="H16" s="31">
        <v>108.1</v>
      </c>
      <c r="I16" s="31">
        <v>111.1</v>
      </c>
      <c r="Q16" s="33">
        <v>125</v>
      </c>
      <c r="R16" s="33">
        <v>150.4</v>
      </c>
      <c r="S16" s="33">
        <v>129.4</v>
      </c>
      <c r="W16" s="33">
        <v>138.19999999999999</v>
      </c>
      <c r="X16" s="33">
        <v>278</v>
      </c>
      <c r="Z16" s="33">
        <v>557.70000000000005</v>
      </c>
      <c r="AA16" s="33">
        <v>542.5</v>
      </c>
    </row>
    <row r="17" spans="1:27" s="33" customFormat="1" x14ac:dyDescent="0.2">
      <c r="A17" s="21" t="s">
        <v>37</v>
      </c>
      <c r="B17" s="31">
        <v>48.7</v>
      </c>
      <c r="C17" s="31">
        <v>59.2</v>
      </c>
      <c r="D17" s="31">
        <v>52.7</v>
      </c>
      <c r="E17" s="31">
        <v>53.6</v>
      </c>
      <c r="F17" s="31">
        <v>53.1</v>
      </c>
      <c r="G17" s="31">
        <v>54.4</v>
      </c>
      <c r="H17" s="31">
        <v>55.9</v>
      </c>
      <c r="I17" s="31">
        <v>59.2</v>
      </c>
      <c r="Q17" s="33">
        <v>76.3</v>
      </c>
      <c r="R17" s="33">
        <v>74.8</v>
      </c>
      <c r="S17" s="33">
        <v>78.8</v>
      </c>
      <c r="W17" s="33">
        <v>49.2</v>
      </c>
      <c r="X17" s="33">
        <v>53.5</v>
      </c>
      <c r="Z17" s="33">
        <v>70</v>
      </c>
      <c r="AA17" s="33">
        <v>73.8</v>
      </c>
    </row>
    <row r="18" spans="1:27" s="33" customFormat="1" x14ac:dyDescent="0.2">
      <c r="A18" s="21" t="s">
        <v>38</v>
      </c>
      <c r="B18" s="31">
        <v>47.3</v>
      </c>
      <c r="C18" s="31">
        <v>58</v>
      </c>
      <c r="D18" s="31">
        <v>55.5</v>
      </c>
      <c r="E18" s="31">
        <v>57.8</v>
      </c>
      <c r="F18" s="31">
        <v>58</v>
      </c>
      <c r="G18" s="31">
        <v>59.6</v>
      </c>
      <c r="H18" s="31">
        <v>56.3</v>
      </c>
      <c r="I18" s="31">
        <v>56.7</v>
      </c>
      <c r="Q18" s="33">
        <v>80.599999999999994</v>
      </c>
      <c r="R18" s="33">
        <v>75.599999999999994</v>
      </c>
      <c r="S18" s="33">
        <v>78</v>
      </c>
      <c r="Z18" s="33">
        <v>70</v>
      </c>
      <c r="AA18" s="33">
        <v>76</v>
      </c>
    </row>
    <row r="19" spans="1:27" s="29" customFormat="1" x14ac:dyDescent="0.2">
      <c r="A19" s="30" t="s">
        <v>52</v>
      </c>
      <c r="B19" s="28"/>
      <c r="C19" s="28"/>
      <c r="D19" s="28"/>
      <c r="E19" s="28"/>
      <c r="F19" s="28"/>
      <c r="G19" s="28"/>
      <c r="H19" s="28"/>
      <c r="I19" s="28"/>
    </row>
    <row r="20" spans="1:27" s="33" customFormat="1" x14ac:dyDescent="0.2">
      <c r="A20" s="32" t="s">
        <v>36</v>
      </c>
      <c r="B20" s="31">
        <v>1.54</v>
      </c>
      <c r="C20" s="31">
        <v>2.2000000000000002</v>
      </c>
      <c r="D20" s="31">
        <v>2.5099999999999998</v>
      </c>
      <c r="E20" s="31">
        <v>2.68</v>
      </c>
      <c r="F20" s="31">
        <v>3.59</v>
      </c>
      <c r="G20" s="31">
        <v>3.86</v>
      </c>
      <c r="H20" s="31">
        <v>3.46</v>
      </c>
      <c r="I20" s="31">
        <v>3.7</v>
      </c>
      <c r="Q20" s="33">
        <v>3.01</v>
      </c>
    </row>
    <row r="21" spans="1:27" s="25" customFormat="1" x14ac:dyDescent="0.2">
      <c r="A21" s="24" t="s">
        <v>42</v>
      </c>
      <c r="B21" s="24"/>
      <c r="C21" s="24"/>
      <c r="D21" s="24"/>
      <c r="E21" s="24"/>
      <c r="F21" s="24"/>
      <c r="G21" s="24"/>
      <c r="H21" s="24"/>
      <c r="I21" s="24"/>
    </row>
    <row r="22" spans="1:27" s="33" customFormat="1" x14ac:dyDescent="0.2">
      <c r="A22" s="21" t="s">
        <v>40</v>
      </c>
      <c r="B22" s="31">
        <v>5.79</v>
      </c>
      <c r="C22" s="31">
        <v>9.24</v>
      </c>
      <c r="D22" s="31">
        <v>9.52</v>
      </c>
      <c r="E22" s="31">
        <v>11.1</v>
      </c>
      <c r="F22" s="31">
        <v>14.2</v>
      </c>
      <c r="G22" s="31">
        <v>15.4</v>
      </c>
      <c r="H22" s="31">
        <v>13.47</v>
      </c>
      <c r="I22" s="31">
        <v>15.02</v>
      </c>
      <c r="Q22" s="33">
        <v>12.72</v>
      </c>
      <c r="R22" s="33">
        <v>13.51</v>
      </c>
      <c r="S22" s="33">
        <v>12.56</v>
      </c>
      <c r="W22" s="33">
        <v>16.71</v>
      </c>
      <c r="X22" s="33">
        <v>35.700000000000003</v>
      </c>
      <c r="Z22" s="33">
        <v>54.23</v>
      </c>
      <c r="AA22" s="33">
        <v>51.49</v>
      </c>
    </row>
    <row r="23" spans="1:27" s="33" customFormat="1" x14ac:dyDescent="0.2">
      <c r="A23" s="21" t="s">
        <v>41</v>
      </c>
      <c r="B23" s="31">
        <v>3.8</v>
      </c>
      <c r="C23" s="31">
        <v>4.2</v>
      </c>
      <c r="D23" s="31">
        <v>3.8</v>
      </c>
      <c r="E23" s="31">
        <v>4.2</v>
      </c>
      <c r="F23" s="31">
        <v>4</v>
      </c>
      <c r="G23" s="31">
        <v>4</v>
      </c>
      <c r="H23" s="31">
        <v>3.9</v>
      </c>
      <c r="I23" s="31">
        <v>4.0999999999999996</v>
      </c>
      <c r="Q23" s="33">
        <v>4.2300000000000004</v>
      </c>
    </row>
    <row r="24" spans="1:27" s="33" customFormat="1" x14ac:dyDescent="0.2">
      <c r="A24" s="21" t="s">
        <v>39</v>
      </c>
      <c r="B24" s="31">
        <v>50</v>
      </c>
      <c r="C24" s="31">
        <v>85</v>
      </c>
      <c r="D24" s="31">
        <v>89.3</v>
      </c>
      <c r="E24" s="31">
        <v>98.9</v>
      </c>
      <c r="F24" s="31">
        <v>125.1</v>
      </c>
      <c r="G24" s="31">
        <v>135.69999999999999</v>
      </c>
      <c r="H24" s="31">
        <v>119.2</v>
      </c>
      <c r="I24" s="31">
        <v>132.80000000000001</v>
      </c>
      <c r="Q24" s="33">
        <v>115</v>
      </c>
      <c r="R24" s="33">
        <v>122.5</v>
      </c>
      <c r="S24" s="33">
        <v>114.5</v>
      </c>
      <c r="W24" s="33">
        <v>142.9</v>
      </c>
      <c r="X24" s="33">
        <v>323.2</v>
      </c>
      <c r="Z24" s="33">
        <v>488.8</v>
      </c>
      <c r="AA24" s="33">
        <v>466.2</v>
      </c>
    </row>
    <row r="25" spans="1:27" s="33" customFormat="1" x14ac:dyDescent="0.2">
      <c r="A25" s="21" t="s">
        <v>37</v>
      </c>
      <c r="B25" s="31">
        <v>45.3</v>
      </c>
      <c r="C25" s="31">
        <v>48.3</v>
      </c>
      <c r="D25" s="31">
        <v>46.6</v>
      </c>
      <c r="E25" s="31">
        <v>47.1</v>
      </c>
      <c r="F25" s="31">
        <v>45.2</v>
      </c>
      <c r="G25" s="31">
        <v>46</v>
      </c>
      <c r="H25" s="31">
        <v>46.5</v>
      </c>
      <c r="I25" s="31">
        <v>47.8</v>
      </c>
      <c r="Q25" s="33">
        <v>51</v>
      </c>
      <c r="R25" s="33">
        <v>50.6</v>
      </c>
      <c r="S25" s="33">
        <v>51.9</v>
      </c>
      <c r="W25" s="33">
        <v>46.9</v>
      </c>
      <c r="X25" s="33">
        <v>47</v>
      </c>
      <c r="Z25" s="33">
        <v>48.1</v>
      </c>
      <c r="AA25" s="33">
        <v>49.7</v>
      </c>
    </row>
    <row r="26" spans="1:27" s="33" customFormat="1" x14ac:dyDescent="0.2">
      <c r="A26" s="21" t="s">
        <v>38</v>
      </c>
      <c r="B26" s="31">
        <v>46.1</v>
      </c>
      <c r="C26" s="31">
        <v>49.2</v>
      </c>
      <c r="D26" s="31">
        <v>47.2</v>
      </c>
      <c r="E26" s="31">
        <v>47.3</v>
      </c>
      <c r="F26" s="31">
        <v>44.7</v>
      </c>
      <c r="G26" s="31">
        <v>44.8</v>
      </c>
      <c r="H26" s="31">
        <v>45.4</v>
      </c>
      <c r="I26" s="31">
        <v>46.3</v>
      </c>
      <c r="Q26" s="33">
        <v>51.9</v>
      </c>
      <c r="R26" s="33">
        <v>50.9</v>
      </c>
      <c r="S26" s="33">
        <v>51.8</v>
      </c>
      <c r="Z26" s="33">
        <v>48.1</v>
      </c>
      <c r="AA26" s="33">
        <v>51</v>
      </c>
    </row>
    <row r="28" spans="1:27" s="10" customFormat="1" x14ac:dyDescent="0.2">
      <c r="A28" s="9" t="s">
        <v>17</v>
      </c>
      <c r="B28" s="9">
        <v>699.1</v>
      </c>
      <c r="C28" s="9">
        <v>972.1</v>
      </c>
      <c r="D28" s="9">
        <v>970.2</v>
      </c>
      <c r="E28" s="35">
        <f>+X28-SUM(B28:D28)</f>
        <v>1108.5</v>
      </c>
      <c r="F28" s="35">
        <v>1442.9</v>
      </c>
      <c r="G28" s="35">
        <v>1555</v>
      </c>
      <c r="H28" s="35">
        <v>1415.5</v>
      </c>
      <c r="I28" s="35">
        <f>+Y28-SUM(F28:H28)</f>
        <v>1580</v>
      </c>
      <c r="J28" s="10">
        <v>1915.4</v>
      </c>
      <c r="K28" s="10">
        <v>1957.1</v>
      </c>
      <c r="L28" s="10">
        <v>1860.2</v>
      </c>
      <c r="M28" s="10">
        <v>2016.1</v>
      </c>
      <c r="N28" s="10">
        <v>2016.1</v>
      </c>
      <c r="O28" s="10">
        <v>1917.5</v>
      </c>
      <c r="P28" s="10">
        <v>1804</v>
      </c>
      <c r="Q28" s="10">
        <f>+AA28-SUM(N28:P28)</f>
        <v>1859</v>
      </c>
      <c r="R28" s="10">
        <v>2073.5</v>
      </c>
      <c r="S28" s="10">
        <v>1950.8</v>
      </c>
      <c r="W28" s="10">
        <v>1809</v>
      </c>
      <c r="X28" s="10">
        <v>3749.9</v>
      </c>
      <c r="Y28" s="10">
        <v>5993.4</v>
      </c>
      <c r="Z28" s="10">
        <v>7607.2</v>
      </c>
      <c r="AA28" s="10">
        <v>7596.6</v>
      </c>
    </row>
    <row r="29" spans="1:27" x14ac:dyDescent="0.2">
      <c r="A29" s="2" t="s">
        <v>18</v>
      </c>
      <c r="B29" s="2">
        <f>240.6+258.4</f>
        <v>499</v>
      </c>
      <c r="C29" s="2">
        <f>342.2+376.3</f>
        <v>718.5</v>
      </c>
      <c r="D29" s="2">
        <f>332.4+379.8</f>
        <v>712.2</v>
      </c>
      <c r="E29" s="36">
        <f>+X29-SUM(B29:D29)</f>
        <v>769.10000000000014</v>
      </c>
      <c r="F29" s="36">
        <f>487.3+553.1</f>
        <v>1040.4000000000001</v>
      </c>
      <c r="G29" s="39">
        <f>532.7+623.5</f>
        <v>1156.2</v>
      </c>
      <c r="H29" s="39">
        <f>489.8+613.8</f>
        <v>1103.5999999999999</v>
      </c>
      <c r="I29" s="36">
        <f>+Y29-SUM(F29:H29)</f>
        <v>1194.9000000000001</v>
      </c>
      <c r="J29" s="6">
        <f>661.3+777.6</f>
        <v>1438.9</v>
      </c>
      <c r="K29" s="6">
        <f>672.3+792</f>
        <v>1464.3</v>
      </c>
      <c r="L29" s="6">
        <f>644.5+768</f>
        <v>1412.5</v>
      </c>
      <c r="M29" s="6">
        <f>722.8+770.5</f>
        <v>1493.3</v>
      </c>
      <c r="N29" s="6">
        <f>722.8+770.5</f>
        <v>1493.3</v>
      </c>
      <c r="O29" s="6">
        <f>648.4+732.7</f>
        <v>1381.1</v>
      </c>
      <c r="P29" s="6">
        <f>634.4+715.6</f>
        <v>1350</v>
      </c>
      <c r="Q29" s="40">
        <f>+AA29-SUM(N29:P29)</f>
        <v>1361.8999999999996</v>
      </c>
      <c r="R29" s="6">
        <f>786.6+774.5</f>
        <v>1561.1</v>
      </c>
      <c r="S29" s="6">
        <f>719.1+767.8</f>
        <v>1486.9</v>
      </c>
      <c r="W29" s="6">
        <f>640.5+652</f>
        <v>1292.5</v>
      </c>
      <c r="X29" s="6">
        <f>1276.7+1422.1</f>
        <v>2698.8</v>
      </c>
      <c r="Y29" s="6">
        <f>2046.4+2448.7</f>
        <v>4495.1000000000004</v>
      </c>
      <c r="Z29" s="6">
        <f>2620.3+3070.8</f>
        <v>5691.1</v>
      </c>
      <c r="AA29" s="6">
        <f>2675.6+2910.7</f>
        <v>5586.2999999999993</v>
      </c>
    </row>
    <row r="30" spans="1:27" x14ac:dyDescent="0.2">
      <c r="A30" s="2" t="s">
        <v>29</v>
      </c>
      <c r="B30" s="6">
        <f t="shared" ref="B30:C30" si="2">+B28-B29</f>
        <v>200.10000000000002</v>
      </c>
      <c r="C30" s="6">
        <f t="shared" si="2"/>
        <v>253.60000000000002</v>
      </c>
      <c r="D30" s="6">
        <f t="shared" ref="D30:E30" si="3">+D28-D29</f>
        <v>258</v>
      </c>
      <c r="E30" s="6">
        <f t="shared" si="3"/>
        <v>339.39999999999986</v>
      </c>
      <c r="F30" s="6">
        <f t="shared" ref="F30:G30" si="4">+F28-F29</f>
        <v>402.5</v>
      </c>
      <c r="G30" s="6">
        <f t="shared" si="4"/>
        <v>398.79999999999995</v>
      </c>
      <c r="H30" s="6">
        <f t="shared" ref="H30:I30" si="5">+H28-H29</f>
        <v>311.90000000000009</v>
      </c>
      <c r="I30" s="6">
        <f t="shared" si="5"/>
        <v>385.09999999999991</v>
      </c>
      <c r="J30" s="6">
        <f t="shared" ref="J30:Q30" si="6">+J28-J29</f>
        <v>476.5</v>
      </c>
      <c r="K30" s="6">
        <f t="shared" si="6"/>
        <v>492.79999999999995</v>
      </c>
      <c r="L30" s="6">
        <f t="shared" si="6"/>
        <v>447.70000000000005</v>
      </c>
      <c r="M30" s="6">
        <f t="shared" si="6"/>
        <v>522.79999999999995</v>
      </c>
      <c r="N30" s="6">
        <f t="shared" si="6"/>
        <v>522.79999999999995</v>
      </c>
      <c r="O30" s="6">
        <f t="shared" si="6"/>
        <v>536.40000000000009</v>
      </c>
      <c r="P30" s="6">
        <f t="shared" si="6"/>
        <v>454</v>
      </c>
      <c r="Q30" s="6">
        <f t="shared" si="6"/>
        <v>497.10000000000036</v>
      </c>
      <c r="R30" s="6">
        <f t="shared" ref="R30:S30" si="7">+R28-R29</f>
        <v>512.40000000000009</v>
      </c>
      <c r="S30" s="6">
        <f t="shared" si="7"/>
        <v>463.89999999999986</v>
      </c>
      <c r="W30" s="6">
        <f>+W28-W29</f>
        <v>516.5</v>
      </c>
      <c r="X30" s="6">
        <f>+X28-X29</f>
        <v>1051.0999999999999</v>
      </c>
      <c r="Y30" s="6">
        <f>+Y28-Y29</f>
        <v>1498.2999999999993</v>
      </c>
      <c r="Z30" s="6">
        <f>+Z28-Z29</f>
        <v>1916.0999999999995</v>
      </c>
      <c r="AA30" s="6">
        <f>+AA28-AA29</f>
        <v>2010.3000000000011</v>
      </c>
    </row>
    <row r="31" spans="1:27" s="5" customFormat="1" x14ac:dyDescent="0.2">
      <c r="A31" s="19" t="s">
        <v>53</v>
      </c>
      <c r="B31" s="5">
        <v>118.6</v>
      </c>
      <c r="C31" s="5">
        <v>83.7</v>
      </c>
      <c r="D31" s="5">
        <v>124.3</v>
      </c>
      <c r="E31" s="19">
        <f>+X31-SUM(B31:D31)</f>
        <v>143.09999999999997</v>
      </c>
      <c r="F31" s="19">
        <v>218</v>
      </c>
      <c r="G31" s="39">
        <v>213.4</v>
      </c>
      <c r="H31" s="39">
        <v>209.5</v>
      </c>
      <c r="I31" s="36">
        <f>+Y31-SUM(F31:H31)</f>
        <v>220.70000000000005</v>
      </c>
      <c r="J31" s="5">
        <v>339.1</v>
      </c>
      <c r="K31" s="5">
        <v>307.8</v>
      </c>
      <c r="L31" s="5">
        <v>333.8</v>
      </c>
      <c r="M31" s="5">
        <v>415.4</v>
      </c>
      <c r="N31" s="5">
        <v>415.4</v>
      </c>
      <c r="O31" s="5">
        <v>316</v>
      </c>
      <c r="P31" s="5">
        <v>352.4</v>
      </c>
      <c r="Q31" s="40">
        <f>+AA31-SUM(N31:P31)</f>
        <v>356.70000000000005</v>
      </c>
      <c r="R31" s="5">
        <v>482.1</v>
      </c>
      <c r="S31" s="5">
        <v>335.8</v>
      </c>
      <c r="W31" s="5">
        <v>405.2</v>
      </c>
      <c r="X31" s="5">
        <v>469.7</v>
      </c>
      <c r="Y31" s="5">
        <v>861.6</v>
      </c>
      <c r="Z31" s="5">
        <v>1284.3</v>
      </c>
      <c r="AA31" s="5">
        <v>1440.5</v>
      </c>
    </row>
    <row r="32" spans="1:27" x14ac:dyDescent="0.2">
      <c r="A32" s="2" t="s">
        <v>19</v>
      </c>
      <c r="B32" s="6">
        <v>32.1</v>
      </c>
      <c r="C32" s="6">
        <v>35.200000000000003</v>
      </c>
      <c r="D32" s="6">
        <v>39.1</v>
      </c>
      <c r="E32" s="36">
        <f>+X32-SUM(B32:D32)</f>
        <v>39.599999999999994</v>
      </c>
      <c r="F32" s="36">
        <v>45.8</v>
      </c>
      <c r="G32" s="39">
        <v>46.8</v>
      </c>
      <c r="H32" s="39">
        <v>56.2</v>
      </c>
      <c r="I32" s="36">
        <f>+Y32-SUM(F32:H32)</f>
        <v>84.799999999999983</v>
      </c>
      <c r="J32" s="6">
        <v>72.400000000000006</v>
      </c>
      <c r="K32" s="6">
        <v>87.7</v>
      </c>
      <c r="L32" s="6">
        <v>96.5</v>
      </c>
      <c r="M32" s="6">
        <v>102</v>
      </c>
      <c r="N32" s="6">
        <v>102</v>
      </c>
      <c r="O32" s="6">
        <v>106.5</v>
      </c>
      <c r="P32" s="6">
        <v>105.6</v>
      </c>
      <c r="Q32" s="40">
        <f>+AA32-SUM(N32:P32)</f>
        <v>96.899999999999977</v>
      </c>
      <c r="R32" s="6">
        <v>111.9</v>
      </c>
      <c r="S32" s="6">
        <v>107.8</v>
      </c>
      <c r="W32" s="6">
        <v>132.80000000000001</v>
      </c>
      <c r="X32" s="6">
        <v>146</v>
      </c>
      <c r="Y32" s="6">
        <v>233.6</v>
      </c>
      <c r="Z32" s="6">
        <v>366.5</v>
      </c>
      <c r="AA32" s="6">
        <v>411</v>
      </c>
    </row>
    <row r="33" spans="1:28" x14ac:dyDescent="0.2">
      <c r="A33" s="2" t="s">
        <v>20</v>
      </c>
      <c r="B33" s="6">
        <f>-1+3.8</f>
        <v>2.8</v>
      </c>
      <c r="C33" s="6">
        <f>-2.4+3</f>
        <v>0.60000000000000009</v>
      </c>
      <c r="D33" s="6">
        <f>+-0.9+3.4</f>
        <v>2.5</v>
      </c>
      <c r="E33" s="36">
        <f>+X33-SUM(B33:D33)</f>
        <v>3.6000000000000014</v>
      </c>
      <c r="F33" s="36">
        <f>-2.3+7.1</f>
        <v>4.8</v>
      </c>
      <c r="G33" s="39">
        <f>-2.5+10.1</f>
        <v>7.6</v>
      </c>
      <c r="H33" s="39">
        <f>-2.3+7.1</f>
        <v>4.8</v>
      </c>
      <c r="I33" s="36">
        <f>+Y33-SUM(F33:H33)</f>
        <v>7.4000000000000021</v>
      </c>
      <c r="J33" s="6">
        <f>+-3.5+12.8</f>
        <v>9.3000000000000007</v>
      </c>
      <c r="K33" s="6">
        <f>-4+3.8+9.2</f>
        <v>9</v>
      </c>
      <c r="L33" s="6">
        <f>-2+15.5</f>
        <v>13.5</v>
      </c>
      <c r="M33" s="6">
        <f>+-2.8+17.2</f>
        <v>14.399999999999999</v>
      </c>
      <c r="N33" s="6">
        <f>+-2.8+17.2</f>
        <v>14.399999999999999</v>
      </c>
      <c r="O33" s="6">
        <f>-2.8+4.8+11.3</f>
        <v>13.3</v>
      </c>
      <c r="P33" s="6">
        <f>-4.8+13.7</f>
        <v>8.8999999999999986</v>
      </c>
      <c r="Q33" s="40">
        <f>+AA33-SUM(N33:P33)</f>
        <v>-12.099999999999994</v>
      </c>
      <c r="R33" s="6">
        <f>-3.5+14.6</f>
        <v>11.1</v>
      </c>
      <c r="S33" s="6">
        <f>-3.6+3.2</f>
        <v>-0.39999999999999991</v>
      </c>
      <c r="W33" s="6">
        <f>-4.5+8.8</f>
        <v>4.3000000000000007</v>
      </c>
      <c r="X33" s="6">
        <f>-6.6+16.1</f>
        <v>9.5000000000000018</v>
      </c>
      <c r="Y33" s="6">
        <f>+-10.5+19.3+15.8</f>
        <v>24.6</v>
      </c>
      <c r="Z33" s="6">
        <f>+-13.8+38.6+23.1</f>
        <v>47.900000000000006</v>
      </c>
      <c r="AA33" s="6">
        <f>-17.9+42.4</f>
        <v>24.5</v>
      </c>
    </row>
    <row r="34" spans="1:28" x14ac:dyDescent="0.2">
      <c r="A34" s="2" t="s">
        <v>21</v>
      </c>
      <c r="B34" s="6">
        <f>SUM(B31:B33)</f>
        <v>153.5</v>
      </c>
      <c r="C34" s="6">
        <f>SUM(C31:C33)</f>
        <v>119.5</v>
      </c>
      <c r="D34" s="6">
        <f>SUM(D31:D33)</f>
        <v>165.9</v>
      </c>
      <c r="E34" s="6">
        <f>SUM(E31:E33)</f>
        <v>186.29999999999995</v>
      </c>
      <c r="F34" s="6">
        <f>SUM(F31:F33)</f>
        <v>268.60000000000002</v>
      </c>
      <c r="G34" s="6">
        <f>SUM(G31:G33)</f>
        <v>267.8</v>
      </c>
      <c r="H34" s="6">
        <f>SUM(H31:H33)</f>
        <v>270.5</v>
      </c>
      <c r="I34" s="6">
        <f>SUM(I31:I33)</f>
        <v>312.89999999999998</v>
      </c>
      <c r="J34" s="6">
        <f t="shared" ref="J34:P34" si="8">SUM(J31:J33)</f>
        <v>420.8</v>
      </c>
      <c r="K34" s="6">
        <f t="shared" si="8"/>
        <v>404.5</v>
      </c>
      <c r="L34" s="6">
        <f t="shared" si="8"/>
        <v>443.8</v>
      </c>
      <c r="M34" s="6">
        <f t="shared" si="8"/>
        <v>531.79999999999995</v>
      </c>
      <c r="N34" s="6">
        <f t="shared" si="8"/>
        <v>531.79999999999995</v>
      </c>
      <c r="O34" s="6">
        <f t="shared" si="8"/>
        <v>435.8</v>
      </c>
      <c r="P34" s="6">
        <f t="shared" si="8"/>
        <v>466.9</v>
      </c>
      <c r="Q34" s="6">
        <f t="shared" ref="Q34:R34" si="9">SUM(Q31:Q33)</f>
        <v>441.5</v>
      </c>
      <c r="R34" s="6">
        <f t="shared" si="9"/>
        <v>605.1</v>
      </c>
      <c r="S34" s="6">
        <f t="shared" ref="S34" si="10">SUM(S31:S33)</f>
        <v>443.20000000000005</v>
      </c>
      <c r="W34" s="6">
        <f>SUM(W31:W33)</f>
        <v>542.29999999999995</v>
      </c>
      <c r="X34" s="6">
        <f>SUM(X31:X33)</f>
        <v>625.20000000000005</v>
      </c>
      <c r="Y34" s="6">
        <f>SUM(Y31:Y33)</f>
        <v>1119.8</v>
      </c>
      <c r="Z34" s="6">
        <f>SUM(Z31:Z33)</f>
        <v>1698.7</v>
      </c>
      <c r="AA34" s="6">
        <f>SUM(AA31:AA33)</f>
        <v>1876</v>
      </c>
    </row>
    <row r="35" spans="1:28" s="10" customFormat="1" x14ac:dyDescent="0.2">
      <c r="A35" s="9" t="s">
        <v>22</v>
      </c>
      <c r="B35" s="10">
        <f>+B30-B34</f>
        <v>46.600000000000023</v>
      </c>
      <c r="C35" s="10">
        <f>+C30-C34</f>
        <v>134.10000000000002</v>
      </c>
      <c r="D35" s="10">
        <f>+D30-D34</f>
        <v>92.1</v>
      </c>
      <c r="E35" s="10">
        <f>+E30-E34</f>
        <v>153.09999999999991</v>
      </c>
      <c r="F35" s="10">
        <f>+F30-F34</f>
        <v>133.89999999999998</v>
      </c>
      <c r="G35" s="10">
        <f>+G30-G34</f>
        <v>130.99999999999994</v>
      </c>
      <c r="H35" s="10">
        <f>+H30-H34</f>
        <v>41.400000000000091</v>
      </c>
      <c r="I35" s="10">
        <f>+I30-I34</f>
        <v>72.199999999999932</v>
      </c>
      <c r="J35" s="10">
        <f t="shared" ref="J35:P35" si="11">+J30-J34</f>
        <v>55.699999999999989</v>
      </c>
      <c r="K35" s="10">
        <f t="shared" si="11"/>
        <v>88.299999999999955</v>
      </c>
      <c r="L35" s="10">
        <f t="shared" si="11"/>
        <v>3.9000000000000341</v>
      </c>
      <c r="M35" s="10">
        <f t="shared" si="11"/>
        <v>-9</v>
      </c>
      <c r="N35" s="10">
        <f t="shared" si="11"/>
        <v>-9</v>
      </c>
      <c r="O35" s="10">
        <f t="shared" si="11"/>
        <v>100.60000000000008</v>
      </c>
      <c r="P35" s="10">
        <f t="shared" si="11"/>
        <v>-12.899999999999977</v>
      </c>
      <c r="Q35" s="10">
        <f t="shared" ref="Q35:R35" si="12">+Q30-Q34</f>
        <v>55.600000000000364</v>
      </c>
      <c r="R35" s="10">
        <f t="shared" si="12"/>
        <v>-92.699999999999932</v>
      </c>
      <c r="S35" s="10">
        <f t="shared" ref="S35" si="13">+S30-S34</f>
        <v>20.699999999999818</v>
      </c>
      <c r="W35" s="10">
        <f>+W30-W34</f>
        <v>-25.799999999999955</v>
      </c>
      <c r="X35" s="10">
        <f>+X30-X34</f>
        <v>425.89999999999986</v>
      </c>
      <c r="Y35" s="10">
        <f>+Y30-Y34</f>
        <v>378.49999999999932</v>
      </c>
      <c r="Z35" s="10">
        <f>+Z30-Z34</f>
        <v>217.39999999999941</v>
      </c>
      <c r="AA35" s="10">
        <f>+AA30-AA34</f>
        <v>134.30000000000109</v>
      </c>
    </row>
    <row r="36" spans="1:28" x14ac:dyDescent="0.2">
      <c r="A36" s="2" t="s">
        <v>23</v>
      </c>
      <c r="B36" s="6">
        <v>0.4</v>
      </c>
      <c r="C36" s="6">
        <v>0.1</v>
      </c>
      <c r="D36" s="6">
        <v>0.1</v>
      </c>
      <c r="E36" s="36">
        <f>+X36-SUM(B36:D36)</f>
        <v>0.4</v>
      </c>
      <c r="F36" s="36">
        <v>0.1</v>
      </c>
      <c r="G36" s="36">
        <v>0.1</v>
      </c>
      <c r="H36" s="36">
        <v>0.2</v>
      </c>
      <c r="I36" s="36">
        <f>+Y36-SUM(F36:H36)</f>
        <v>0.19999999999999996</v>
      </c>
      <c r="J36" s="6">
        <v>0.1</v>
      </c>
      <c r="K36" s="6">
        <v>0.3</v>
      </c>
      <c r="L36" s="6">
        <v>0.9</v>
      </c>
      <c r="M36" s="6">
        <v>1.8</v>
      </c>
      <c r="N36" s="6">
        <v>1.8</v>
      </c>
      <c r="O36" s="6">
        <v>1.3</v>
      </c>
      <c r="P36" s="6">
        <v>1.7</v>
      </c>
      <c r="Q36" s="40">
        <f>+AA36-SUM(N36:P36)</f>
        <v>2.8</v>
      </c>
      <c r="R36" s="6">
        <v>2.7</v>
      </c>
      <c r="S36" s="6">
        <v>4</v>
      </c>
      <c r="W36" s="6">
        <v>0.6</v>
      </c>
      <c r="X36" s="6">
        <v>1</v>
      </c>
      <c r="Y36" s="6">
        <v>0.6</v>
      </c>
      <c r="Z36" s="6">
        <v>3</v>
      </c>
      <c r="AA36" s="6">
        <v>7.6</v>
      </c>
    </row>
    <row r="37" spans="1:28" x14ac:dyDescent="0.2">
      <c r="A37" s="2" t="s">
        <v>24</v>
      </c>
      <c r="B37" s="6">
        <v>-1.7</v>
      </c>
      <c r="C37" s="6">
        <v>-1.7</v>
      </c>
      <c r="D37" s="6">
        <v>-3.1</v>
      </c>
      <c r="E37" s="36">
        <f>+X37-SUM(B37:D37)</f>
        <v>-3.5</v>
      </c>
      <c r="F37" s="36">
        <v>-4.3</v>
      </c>
      <c r="G37" s="36">
        <v>-4.8</v>
      </c>
      <c r="H37" s="36">
        <v>-5.0999999999999996</v>
      </c>
      <c r="I37" s="36">
        <f>+Y37-SUM(F37:H37)</f>
        <v>-17.2</v>
      </c>
      <c r="J37" s="6">
        <v>-5.2</v>
      </c>
      <c r="K37" s="6">
        <v>-5.3</v>
      </c>
      <c r="L37" s="6">
        <v>-7</v>
      </c>
      <c r="M37" s="6">
        <v>-8.9</v>
      </c>
      <c r="N37" s="6">
        <v>-8.9</v>
      </c>
      <c r="O37" s="6">
        <v>-8.6</v>
      </c>
      <c r="P37" s="6">
        <v>-8.6</v>
      </c>
      <c r="Q37" s="40">
        <f>+AA37-SUM(N37:P37)</f>
        <v>-9.1999999999999957</v>
      </c>
      <c r="R37" s="6">
        <v>-9.4</v>
      </c>
      <c r="S37" s="6">
        <v>-8.9</v>
      </c>
      <c r="W37" s="6">
        <v>-6.2</v>
      </c>
      <c r="X37" s="6">
        <v>-10</v>
      </c>
      <c r="Y37" s="6">
        <f>+-11.4+-20</f>
        <v>-31.4</v>
      </c>
      <c r="Z37" s="6">
        <v>-27.6</v>
      </c>
      <c r="AA37" s="6">
        <v>-35.299999999999997</v>
      </c>
    </row>
    <row r="38" spans="1:28" x14ac:dyDescent="0.2">
      <c r="A38" s="2" t="s">
        <v>20</v>
      </c>
      <c r="B38" s="6">
        <f>3.9-6.6</f>
        <v>-2.6999999999999997</v>
      </c>
      <c r="C38" s="6">
        <f>1.3-2.6</f>
        <v>-1.3</v>
      </c>
      <c r="D38" s="6">
        <f>0.4-8.1</f>
        <v>-7.6999999999999993</v>
      </c>
      <c r="E38" s="36">
        <f>+X38-SUM(B38:D38)</f>
        <v>3.6999999999999993</v>
      </c>
      <c r="F38" s="36">
        <f>11.2-1.3</f>
        <v>9.8999999999999986</v>
      </c>
      <c r="G38" s="36">
        <f>-0.7-1.8</f>
        <v>-2.5</v>
      </c>
      <c r="H38" s="36">
        <f>3.9-3.3</f>
        <v>0.60000000000000009</v>
      </c>
      <c r="I38" s="36">
        <f>+Y38-SUM(F38:H38)</f>
        <v>15.000000000000002</v>
      </c>
      <c r="J38" s="6">
        <f>11.9+-2.3</f>
        <v>9.6000000000000014</v>
      </c>
      <c r="K38" s="6">
        <f>18.8+-2.3</f>
        <v>16.5</v>
      </c>
      <c r="L38" s="6">
        <f>23.1+-3.3</f>
        <v>19.8</v>
      </c>
      <c r="M38" s="6">
        <f>1.6+-10.9</f>
        <v>-9.3000000000000007</v>
      </c>
      <c r="N38" s="6">
        <f>1.6+-10.9</f>
        <v>-9.3000000000000007</v>
      </c>
      <c r="O38" s="6">
        <v>4</v>
      </c>
      <c r="P38" s="6">
        <f>1+6.6</f>
        <v>7.6</v>
      </c>
      <c r="Q38" s="40">
        <f>+AA38-SUM(N38:P38)</f>
        <v>-13.799999999999999</v>
      </c>
      <c r="R38" s="6">
        <f>15-2.1</f>
        <v>12.9</v>
      </c>
      <c r="S38" s="6">
        <f>7.8+0.7</f>
        <v>8.5</v>
      </c>
      <c r="W38" s="6">
        <f>40.1-12.5</f>
        <v>27.6</v>
      </c>
      <c r="X38" s="6">
        <f>5-13</f>
        <v>-8</v>
      </c>
      <c r="Y38" s="6">
        <f>30.5+-7.5</f>
        <v>23</v>
      </c>
      <c r="Z38" s="6">
        <f>20.5+-13.2</f>
        <v>7.3000000000000007</v>
      </c>
      <c r="AA38" s="6">
        <f>6-17.5</f>
        <v>-11.5</v>
      </c>
    </row>
    <row r="39" spans="1:28" x14ac:dyDescent="0.2">
      <c r="A39" s="2" t="s">
        <v>25</v>
      </c>
      <c r="B39" s="6">
        <f t="shared" ref="B39:C39" si="14">+B35+B36+B37+B38</f>
        <v>42.600000000000016</v>
      </c>
      <c r="C39" s="6">
        <f t="shared" si="14"/>
        <v>131.20000000000002</v>
      </c>
      <c r="D39" s="6">
        <f t="shared" ref="D39:E39" si="15">+D35+D36+D37+D38</f>
        <v>81.399999999999991</v>
      </c>
      <c r="E39" s="6">
        <f t="shared" si="15"/>
        <v>153.6999999999999</v>
      </c>
      <c r="F39" s="6">
        <f t="shared" ref="F39:G39" si="16">+F35+F36+F37+F38</f>
        <v>139.59999999999997</v>
      </c>
      <c r="G39" s="6">
        <f t="shared" si="16"/>
        <v>123.79999999999994</v>
      </c>
      <c r="H39" s="6">
        <f t="shared" ref="H39:I39" si="17">+H35+H36+H37+H38</f>
        <v>37.100000000000094</v>
      </c>
      <c r="I39" s="6">
        <f t="shared" si="17"/>
        <v>70.199999999999932</v>
      </c>
      <c r="J39" s="6">
        <f t="shared" ref="J39:Q39" si="18">+J35+J36+J37+J38</f>
        <v>60.199999999999989</v>
      </c>
      <c r="K39" s="6">
        <f t="shared" si="18"/>
        <v>99.799999999999955</v>
      </c>
      <c r="L39" s="6">
        <f t="shared" si="18"/>
        <v>17.600000000000037</v>
      </c>
      <c r="M39" s="6">
        <f t="shared" si="18"/>
        <v>-25.400000000000002</v>
      </c>
      <c r="N39" s="6">
        <f t="shared" si="18"/>
        <v>-25.400000000000002</v>
      </c>
      <c r="O39" s="6">
        <f t="shared" si="18"/>
        <v>97.300000000000082</v>
      </c>
      <c r="P39" s="6">
        <f t="shared" si="18"/>
        <v>-12.199999999999976</v>
      </c>
      <c r="Q39" s="6">
        <f t="shared" si="18"/>
        <v>35.400000000000368</v>
      </c>
      <c r="R39" s="6">
        <f t="shared" ref="R39:S39" si="19">+R35+R36+R37+R38</f>
        <v>-86.499999999999929</v>
      </c>
      <c r="S39" s="6">
        <f t="shared" si="19"/>
        <v>24.29999999999982</v>
      </c>
      <c r="W39" s="6">
        <f>+W35+W36+W37+W38</f>
        <v>-3.799999999999951</v>
      </c>
      <c r="X39" s="6">
        <f>+X35+X36+X37+X38</f>
        <v>408.89999999999986</v>
      </c>
      <c r="Y39" s="6">
        <f>+Y35+Y36+Y37+Y38</f>
        <v>370.69999999999936</v>
      </c>
      <c r="Z39" s="6">
        <f>+Z35+Z36+Z37+Z38</f>
        <v>200.09999999999943</v>
      </c>
      <c r="AA39" s="6">
        <f>+AA35+AA36+AA37+AA38</f>
        <v>95.100000000001089</v>
      </c>
    </row>
    <row r="40" spans="1:28" x14ac:dyDescent="0.2">
      <c r="A40" s="2" t="s">
        <v>26</v>
      </c>
      <c r="B40" s="6">
        <v>1.8</v>
      </c>
      <c r="C40" s="6">
        <v>14.6</v>
      </c>
      <c r="D40" s="6">
        <v>6</v>
      </c>
      <c r="E40" s="36">
        <f>+X40-SUM(B40:D40)</f>
        <v>4.3000000000000007</v>
      </c>
      <c r="F40" s="36">
        <v>37.1</v>
      </c>
      <c r="G40" s="36">
        <v>39.200000000000003</v>
      </c>
      <c r="H40" s="36">
        <v>12.9</v>
      </c>
      <c r="I40" s="36">
        <f>+Y40-SUM(F40:H40)</f>
        <v>38.499999999999986</v>
      </c>
      <c r="J40" s="6">
        <v>22.3</v>
      </c>
      <c r="K40" s="6">
        <v>34.700000000000003</v>
      </c>
      <c r="L40" s="6">
        <v>12.9</v>
      </c>
      <c r="M40" s="6">
        <v>0</v>
      </c>
      <c r="N40" s="6">
        <v>0</v>
      </c>
      <c r="O40" s="6">
        <v>31</v>
      </c>
      <c r="P40" s="6">
        <v>-0.7</v>
      </c>
      <c r="Q40" s="40">
        <f>+AA40-SUM(N40:P40)</f>
        <v>24.900000000000002</v>
      </c>
      <c r="R40" s="6">
        <v>-0.7</v>
      </c>
      <c r="S40" s="6">
        <v>5.5</v>
      </c>
      <c r="W40" s="6">
        <v>4.8</v>
      </c>
      <c r="X40" s="6">
        <v>26.7</v>
      </c>
      <c r="Y40" s="6">
        <v>127.7</v>
      </c>
      <c r="Z40" s="6">
        <v>74.900000000000006</v>
      </c>
      <c r="AA40" s="6">
        <v>55.2</v>
      </c>
    </row>
    <row r="41" spans="1:28" s="10" customFormat="1" x14ac:dyDescent="0.2">
      <c r="A41" s="9" t="s">
        <v>27</v>
      </c>
      <c r="B41" s="10">
        <f t="shared" ref="B41:C41" si="20">+B39-B40</f>
        <v>40.800000000000018</v>
      </c>
      <c r="C41" s="10">
        <f t="shared" si="20"/>
        <v>116.60000000000002</v>
      </c>
      <c r="D41" s="10">
        <f t="shared" ref="D41:E41" si="21">+D39-D40</f>
        <v>75.399999999999991</v>
      </c>
      <c r="E41" s="10">
        <f t="shared" si="21"/>
        <v>149.39999999999989</v>
      </c>
      <c r="F41" s="10">
        <f t="shared" ref="F41:G41" si="22">+F39-F40</f>
        <v>102.49999999999997</v>
      </c>
      <c r="G41" s="10">
        <f t="shared" si="22"/>
        <v>84.599999999999937</v>
      </c>
      <c r="H41" s="10">
        <f t="shared" ref="H41:I41" si="23">+H39-H40</f>
        <v>24.200000000000095</v>
      </c>
      <c r="I41" s="10">
        <f t="shared" si="23"/>
        <v>31.699999999999946</v>
      </c>
      <c r="J41" s="10">
        <f t="shared" ref="J41:P41" si="24">+J39-J40</f>
        <v>37.899999999999991</v>
      </c>
      <c r="K41" s="10">
        <f t="shared" si="24"/>
        <v>65.099999999999952</v>
      </c>
      <c r="L41" s="10">
        <f t="shared" si="24"/>
        <v>4.7000000000000366</v>
      </c>
      <c r="M41" s="10">
        <f t="shared" si="24"/>
        <v>-25.400000000000002</v>
      </c>
      <c r="N41" s="10">
        <f t="shared" si="24"/>
        <v>-25.400000000000002</v>
      </c>
      <c r="O41" s="10">
        <f t="shared" si="24"/>
        <v>66.300000000000082</v>
      </c>
      <c r="P41" s="10">
        <f t="shared" si="24"/>
        <v>-11.499999999999977</v>
      </c>
      <c r="Q41" s="10">
        <f>+Q39-Q40</f>
        <v>10.500000000000366</v>
      </c>
      <c r="R41" s="10">
        <f t="shared" ref="R41" si="25">+R39-R40</f>
        <v>-85.799999999999926</v>
      </c>
      <c r="S41" s="10">
        <f>+S39-S40</f>
        <v>18.79999999999982</v>
      </c>
      <c r="W41" s="10">
        <f>+W39-W40</f>
        <v>-8.5999999999999517</v>
      </c>
      <c r="X41" s="10">
        <f>+X39-X40</f>
        <v>382.19999999999987</v>
      </c>
      <c r="Y41" s="10">
        <f>+Y39-Y40</f>
        <v>242.99999999999937</v>
      </c>
      <c r="Z41" s="10">
        <f>+Z39-Z40</f>
        <v>125.19999999999942</v>
      </c>
      <c r="AA41" s="10">
        <f>+AA39-AA40</f>
        <v>39.900000000001086</v>
      </c>
    </row>
    <row r="42" spans="1:28" s="11" customFormat="1" x14ac:dyDescent="0.2">
      <c r="A42" s="38" t="s">
        <v>28</v>
      </c>
      <c r="B42" s="11">
        <f t="shared" ref="B42:C42" si="26">+B41/B43</f>
        <v>0.23720930232558149</v>
      </c>
      <c r="C42" s="11">
        <f t="shared" si="26"/>
        <v>0.67790697674418621</v>
      </c>
      <c r="D42" s="11">
        <f t="shared" ref="D42:E42" si="27">+D41/D43</f>
        <v>0.43837209302325575</v>
      </c>
      <c r="E42" s="11">
        <f t="shared" ref="E42:F42" si="28">+E41/E43</f>
        <v>0.86860465116279006</v>
      </c>
      <c r="F42" s="11">
        <f t="shared" si="28"/>
        <v>0.59593023255813937</v>
      </c>
      <c r="G42" s="11">
        <f t="shared" ref="G42:H42" si="29">+G41/G43</f>
        <v>0.49186046511627873</v>
      </c>
      <c r="H42" s="11">
        <f t="shared" si="29"/>
        <v>0.1406976744186052</v>
      </c>
      <c r="I42" s="11">
        <f t="shared" ref="I42" si="30">+I41/I43</f>
        <v>0.18430232558139503</v>
      </c>
      <c r="J42" s="11">
        <f t="shared" ref="J42:P42" si="31">+J41/J43</f>
        <v>0.22034883720930229</v>
      </c>
      <c r="K42" s="11">
        <f t="shared" si="31"/>
        <v>0.36126526082130939</v>
      </c>
      <c r="L42" s="11">
        <f t="shared" si="31"/>
        <v>2.6689381033503899E-2</v>
      </c>
      <c r="M42" s="11">
        <f t="shared" si="31"/>
        <v>-0.14793244030285382</v>
      </c>
      <c r="N42" s="11">
        <f t="shared" si="31"/>
        <v>-0.14793244030285382</v>
      </c>
      <c r="O42" s="11">
        <f t="shared" si="31"/>
        <v>0.36710963455149548</v>
      </c>
      <c r="P42" s="11">
        <f t="shared" si="31"/>
        <v>-6.674405107370851E-2</v>
      </c>
      <c r="Q42" s="11">
        <f t="shared" ref="Q42:R42" si="32">+Q41/Q43</f>
        <v>6.0940220545562189E-2</v>
      </c>
      <c r="R42" s="11">
        <f t="shared" si="32"/>
        <v>-0.49681528662420343</v>
      </c>
      <c r="S42" s="11">
        <f t="shared" ref="S42" si="33">+S41/S43</f>
        <v>0.11170528817587533</v>
      </c>
      <c r="W42" s="11">
        <f>+W41/W43</f>
        <v>-4.6612466124660988E-2</v>
      </c>
      <c r="X42" s="11">
        <f>+X41/X43</f>
        <v>2.0715447154471538</v>
      </c>
      <c r="Y42" s="11">
        <f>+Y41/Y43</f>
        <v>1.3170731707317038</v>
      </c>
      <c r="Z42" s="11">
        <f>+Z41/Z43</f>
        <v>0.69866071428571108</v>
      </c>
      <c r="AA42" s="11">
        <f>+AA41/AA43</f>
        <v>0.22657580919932474</v>
      </c>
    </row>
    <row r="43" spans="1:28" x14ac:dyDescent="0.2">
      <c r="A43" s="39" t="s">
        <v>2</v>
      </c>
      <c r="B43" s="6">
        <v>172</v>
      </c>
      <c r="C43" s="6">
        <v>172</v>
      </c>
      <c r="D43" s="6">
        <v>172</v>
      </c>
      <c r="E43" s="6">
        <v>172</v>
      </c>
      <c r="F43" s="6">
        <v>172</v>
      </c>
      <c r="G43" s="6">
        <v>172</v>
      </c>
      <c r="H43" s="6">
        <v>172</v>
      </c>
      <c r="I43" s="6">
        <v>172</v>
      </c>
      <c r="J43" s="6">
        <v>172</v>
      </c>
      <c r="K43" s="6">
        <v>180.2</v>
      </c>
      <c r="L43" s="6">
        <v>176.1</v>
      </c>
      <c r="M43" s="6">
        <v>171.7</v>
      </c>
      <c r="N43" s="6">
        <v>171.7</v>
      </c>
      <c r="O43" s="6">
        <v>180.6</v>
      </c>
      <c r="P43" s="6">
        <v>172.3</v>
      </c>
      <c r="Q43" s="6">
        <v>172.3</v>
      </c>
      <c r="R43" s="6">
        <v>172.7</v>
      </c>
      <c r="S43" s="6">
        <v>168.3</v>
      </c>
      <c r="W43" s="6">
        <v>184.5</v>
      </c>
      <c r="X43" s="6">
        <v>184.5</v>
      </c>
      <c r="Y43" s="6">
        <v>184.5</v>
      </c>
      <c r="Z43" s="6">
        <v>179.2</v>
      </c>
      <c r="AA43" s="6">
        <v>176.1</v>
      </c>
    </row>
    <row r="44" spans="1:28" x14ac:dyDescent="0.2">
      <c r="B44" s="6"/>
      <c r="C44" s="6"/>
      <c r="D44" s="6"/>
      <c r="E44" s="6"/>
      <c r="F44" s="6"/>
      <c r="G44" s="6"/>
      <c r="H44" s="6"/>
    </row>
    <row r="45" spans="1:28" s="8" customFormat="1" x14ac:dyDescent="0.2">
      <c r="A45" s="7" t="s">
        <v>30</v>
      </c>
      <c r="B45" s="8">
        <f t="shared" ref="B45:C45" si="34">+B30/B28</f>
        <v>0.28622514661707915</v>
      </c>
      <c r="C45" s="8">
        <f t="shared" si="34"/>
        <v>0.26087851044131266</v>
      </c>
      <c r="D45" s="8">
        <f t="shared" ref="D45:E45" si="35">+D30/D28</f>
        <v>0.26592455163883733</v>
      </c>
      <c r="E45" s="8">
        <f t="shared" si="35"/>
        <v>0.30617952187640946</v>
      </c>
      <c r="F45" s="8">
        <f t="shared" ref="F45:G45" si="36">+F30/F28</f>
        <v>0.27895211033335643</v>
      </c>
      <c r="G45" s="8">
        <f t="shared" si="36"/>
        <v>0.25646302250803854</v>
      </c>
      <c r="H45" s="8">
        <f t="shared" ref="H45:I45" si="37">+H30/H28</f>
        <v>0.22034616743200289</v>
      </c>
      <c r="I45" s="8">
        <f t="shared" si="37"/>
        <v>0.24373417721518981</v>
      </c>
      <c r="J45" s="8">
        <f t="shared" ref="J45:P45" si="38">+J30/J28</f>
        <v>0.2487731022240785</v>
      </c>
      <c r="K45" s="8">
        <f t="shared" si="38"/>
        <v>0.25180113433140872</v>
      </c>
      <c r="L45" s="8">
        <f t="shared" si="38"/>
        <v>0.24067304590904207</v>
      </c>
      <c r="M45" s="8">
        <f t="shared" si="38"/>
        <v>0.25931253410049104</v>
      </c>
      <c r="N45" s="8">
        <f t="shared" si="38"/>
        <v>0.25931253410049104</v>
      </c>
      <c r="O45" s="8">
        <f t="shared" si="38"/>
        <v>0.27973924380704046</v>
      </c>
      <c r="P45" s="8">
        <f t="shared" si="38"/>
        <v>0.25166297117516628</v>
      </c>
      <c r="Q45" s="8">
        <f t="shared" ref="Q45:R45" si="39">+Q30/Q28</f>
        <v>0.26740182894029069</v>
      </c>
      <c r="R45" s="8">
        <f t="shared" si="39"/>
        <v>0.24711839884253681</v>
      </c>
      <c r="S45" s="8">
        <f t="shared" ref="S45" si="40">+S30/S28</f>
        <v>0.23779987697354926</v>
      </c>
      <c r="W45" s="8">
        <f>+W30/W28</f>
        <v>0.28551686014372579</v>
      </c>
      <c r="X45" s="8">
        <f>+X30/X28</f>
        <v>0.28030080802154722</v>
      </c>
      <c r="Y45" s="8">
        <f>+Y30/Y28</f>
        <v>0.24999165748990546</v>
      </c>
      <c r="Z45" s="8">
        <f>+Z30/Z28</f>
        <v>0.25187979808602368</v>
      </c>
      <c r="AA45" s="8">
        <f>+AA30/AA28</f>
        <v>0.26463154569149372</v>
      </c>
    </row>
    <row r="46" spans="1:28" s="8" customFormat="1" x14ac:dyDescent="0.2">
      <c r="A46" s="7" t="s">
        <v>31</v>
      </c>
      <c r="B46" s="8">
        <f t="shared" ref="B46:C46" si="41">+B35/B28</f>
        <v>6.6657130596481221E-2</v>
      </c>
      <c r="C46" s="8">
        <f t="shared" si="41"/>
        <v>0.13794877070260264</v>
      </c>
      <c r="D46" s="8">
        <f t="shared" ref="D46:E46" si="42">+D35/D28</f>
        <v>9.4928880643166347E-2</v>
      </c>
      <c r="E46" s="8">
        <f t="shared" si="42"/>
        <v>0.13811456923770854</v>
      </c>
      <c r="F46" s="8">
        <f t="shared" ref="F46:G46" si="43">+F35/F28</f>
        <v>9.2799223785432094E-2</v>
      </c>
      <c r="G46" s="8">
        <f t="shared" si="43"/>
        <v>8.4244372990353658E-2</v>
      </c>
      <c r="H46" s="8">
        <f t="shared" ref="H46:I46" si="44">+H35/H28</f>
        <v>2.9247615683504126E-2</v>
      </c>
      <c r="I46" s="8">
        <f t="shared" si="44"/>
        <v>4.5696202531645524E-2</v>
      </c>
      <c r="J46" s="8">
        <f t="shared" ref="J46:P46" si="45">+J35/J28</f>
        <v>2.9080087710138865E-2</v>
      </c>
      <c r="K46" s="8">
        <f t="shared" si="45"/>
        <v>4.5117776301670819E-2</v>
      </c>
      <c r="L46" s="8">
        <f t="shared" si="45"/>
        <v>2.0965487581980614E-3</v>
      </c>
      <c r="M46" s="8">
        <f t="shared" si="45"/>
        <v>-4.4640642825256689E-3</v>
      </c>
      <c r="N46" s="8">
        <f t="shared" si="45"/>
        <v>-4.4640642825256689E-3</v>
      </c>
      <c r="O46" s="8">
        <f t="shared" si="45"/>
        <v>5.2464146023468099E-2</v>
      </c>
      <c r="P46" s="8">
        <f t="shared" si="45"/>
        <v>-7.1507760532150653E-3</v>
      </c>
      <c r="Q46" s="8">
        <f t="shared" ref="Q46:R46" si="46">+Q35/Q28</f>
        <v>2.9908552985476258E-2</v>
      </c>
      <c r="R46" s="8">
        <f t="shared" si="46"/>
        <v>-4.470701712081019E-2</v>
      </c>
      <c r="S46" s="8">
        <f t="shared" ref="S46" si="47">+S35/S28</f>
        <v>1.0611031371744833E-2</v>
      </c>
      <c r="W46" s="8">
        <f>+W35/W28</f>
        <v>-1.4262023217247073E-2</v>
      </c>
      <c r="X46" s="8">
        <f>+X35/X28</f>
        <v>0.11357636203632093</v>
      </c>
      <c r="Y46" s="8">
        <f>+Y35/Y28</f>
        <v>6.3152801414889603E-2</v>
      </c>
      <c r="Z46" s="8">
        <f>+Z35/Z28</f>
        <v>2.8578189084025582E-2</v>
      </c>
      <c r="AA46" s="8">
        <f>+AA35/AA28</f>
        <v>1.7678961640734157E-2</v>
      </c>
    </row>
    <row r="47" spans="1:28" s="8" customFormat="1" x14ac:dyDescent="0.2">
      <c r="A47" s="7" t="s">
        <v>32</v>
      </c>
      <c r="B47" s="8">
        <f t="shared" ref="B47:C47" si="48">+B41/B28</f>
        <v>5.83607495351166E-2</v>
      </c>
      <c r="C47" s="8">
        <f t="shared" si="48"/>
        <v>0.11994650756095054</v>
      </c>
      <c r="D47" s="8">
        <f t="shared" ref="D47:E47" si="49">+D41/D28</f>
        <v>7.7715934858791982E-2</v>
      </c>
      <c r="E47" s="8">
        <f t="shared" si="49"/>
        <v>0.13477672530446538</v>
      </c>
      <c r="F47" s="8">
        <f t="shared" ref="F47:G47" si="50">+F41/F28</f>
        <v>7.1037493935823662E-2</v>
      </c>
      <c r="G47" s="8">
        <f t="shared" si="50"/>
        <v>5.4405144694533725E-2</v>
      </c>
      <c r="H47" s="8">
        <f t="shared" ref="H47:I47" si="51">+H41/H28</f>
        <v>1.7096432356057997E-2</v>
      </c>
      <c r="I47" s="8">
        <f t="shared" si="51"/>
        <v>2.0063291139240474E-2</v>
      </c>
      <c r="J47" s="8">
        <f t="shared" ref="J47:P47" si="52">+J41/J28</f>
        <v>1.9786989662733626E-2</v>
      </c>
      <c r="K47" s="8">
        <f t="shared" si="52"/>
        <v>3.3263502120484366E-2</v>
      </c>
      <c r="L47" s="8">
        <f t="shared" si="52"/>
        <v>2.5266100419309946E-3</v>
      </c>
      <c r="M47" s="8">
        <f t="shared" si="52"/>
        <v>-1.2598581419572444E-2</v>
      </c>
      <c r="N47" s="8">
        <f t="shared" si="52"/>
        <v>-1.2598581419572444E-2</v>
      </c>
      <c r="O47" s="8">
        <f t="shared" si="52"/>
        <v>3.4576271186440723E-2</v>
      </c>
      <c r="P47" s="8">
        <f t="shared" si="52"/>
        <v>-6.3747228381374598E-3</v>
      </c>
      <c r="Q47" s="8">
        <f t="shared" ref="Q47:R47" si="53">+Q41/Q28</f>
        <v>5.6481979558904603E-3</v>
      </c>
      <c r="R47" s="8">
        <f t="shared" si="53"/>
        <v>-4.1379310344827551E-2</v>
      </c>
      <c r="S47" s="8">
        <f t="shared" ref="S47" si="54">+S41/S28</f>
        <v>9.6370719704735597E-3</v>
      </c>
      <c r="W47" s="8">
        <f>+W41/W28</f>
        <v>-4.7540077390823389E-3</v>
      </c>
      <c r="X47" s="8">
        <f>+X41/X28</f>
        <v>0.10192271793914501</v>
      </c>
      <c r="Y47" s="8">
        <f>+Y41/Y28</f>
        <v>4.0544599058964757E-2</v>
      </c>
      <c r="Z47" s="8">
        <f>+Z41/Z28</f>
        <v>1.6458092333578637E-2</v>
      </c>
      <c r="AA47" s="8">
        <f>+AA41/AA28</f>
        <v>5.2523497354080885E-3</v>
      </c>
    </row>
    <row r="48" spans="1:28" s="8" customFormat="1" x14ac:dyDescent="0.2">
      <c r="A48" s="7" t="s">
        <v>33</v>
      </c>
      <c r="B48" s="8">
        <f t="shared" ref="B48:C48" si="55">+B40/B39</f>
        <v>4.2253521126760549E-2</v>
      </c>
      <c r="C48" s="8">
        <f t="shared" si="55"/>
        <v>0.11128048780487804</v>
      </c>
      <c r="D48" s="8">
        <f t="shared" ref="D48:E48" si="56">+D40/D39</f>
        <v>7.3710073710073723E-2</v>
      </c>
      <c r="E48" s="8">
        <f t="shared" si="56"/>
        <v>2.7976577748861441E-2</v>
      </c>
      <c r="F48" s="8">
        <f t="shared" ref="F48:G48" si="57">+F40/F39</f>
        <v>0.26575931232091698</v>
      </c>
      <c r="G48" s="8">
        <f t="shared" si="57"/>
        <v>0.31663974151857854</v>
      </c>
      <c r="H48" s="8">
        <f t="shared" ref="H48:I48" si="58">+H40/H39</f>
        <v>0.34770889487870532</v>
      </c>
      <c r="I48" s="8">
        <f t="shared" si="58"/>
        <v>0.54843304843304874</v>
      </c>
      <c r="J48" s="8">
        <f t="shared" ref="J48:O48" si="59">+J40/J39</f>
        <v>0.37043189368770774</v>
      </c>
      <c r="K48" s="8">
        <f t="shared" si="59"/>
        <v>0.34769539078156331</v>
      </c>
      <c r="L48" s="8">
        <f t="shared" si="59"/>
        <v>0.73295454545454397</v>
      </c>
      <c r="M48" s="8">
        <f t="shared" si="59"/>
        <v>0</v>
      </c>
      <c r="N48" s="8">
        <f t="shared" si="59"/>
        <v>0</v>
      </c>
      <c r="O48" s="8">
        <f t="shared" si="59"/>
        <v>0.31860226104830397</v>
      </c>
      <c r="P48" s="8" t="s">
        <v>35</v>
      </c>
      <c r="Q48" s="8">
        <f>+Q40/Q39</f>
        <v>0.70338983050846737</v>
      </c>
      <c r="R48" s="8">
        <f>+R40/R39</f>
        <v>8.0924855491329543E-3</v>
      </c>
      <c r="S48" s="8">
        <f>+S40/S39</f>
        <v>0.22633744855967247</v>
      </c>
      <c r="W48" s="8">
        <f>+W40/W39</f>
        <v>-1.2631578947368585</v>
      </c>
      <c r="X48" s="8">
        <f>+X40/X39</f>
        <v>6.5297138664710222E-2</v>
      </c>
      <c r="Y48" s="8">
        <f>+Y40/Y39</f>
        <v>0.3444834097653095</v>
      </c>
      <c r="Z48" s="8">
        <f>+Z40/Z39</f>
        <v>0.37431284357821198</v>
      </c>
      <c r="AA48" s="8">
        <f>+AA40/AA39</f>
        <v>0.58044164037854229</v>
      </c>
    </row>
    <row r="50" spans="1:27" s="13" customFormat="1" x14ac:dyDescent="0.2">
      <c r="A50" s="12" t="s">
        <v>34</v>
      </c>
      <c r="B50" s="12"/>
      <c r="C50" s="12"/>
      <c r="D50" s="12"/>
      <c r="E50" s="12"/>
      <c r="F50" s="13">
        <f t="shared" ref="F50:M50" si="60">+F28/B28-1</f>
        <v>1.0639393505936203</v>
      </c>
      <c r="G50" s="13">
        <f t="shared" si="60"/>
        <v>0.59962966772965731</v>
      </c>
      <c r="H50" s="13">
        <f t="shared" si="60"/>
        <v>0.45897753040610167</v>
      </c>
      <c r="I50" s="13">
        <f t="shared" si="60"/>
        <v>0.42534957149300867</v>
      </c>
      <c r="J50" s="13">
        <f t="shared" si="60"/>
        <v>0.32746552082611413</v>
      </c>
      <c r="K50" s="13">
        <f t="shared" si="60"/>
        <v>0.25858520900321547</v>
      </c>
      <c r="L50" s="13">
        <f t="shared" si="60"/>
        <v>0.3141646061462382</v>
      </c>
      <c r="M50" s="13">
        <f t="shared" si="60"/>
        <v>0.27601265822784815</v>
      </c>
      <c r="N50" s="13">
        <f>+N28/J28-1</f>
        <v>5.2573874908635077E-2</v>
      </c>
      <c r="O50" s="13">
        <f>+O28/K28-1</f>
        <v>-2.0234019723059604E-2</v>
      </c>
      <c r="P50" s="13">
        <f>+P28/L28-1</f>
        <v>-3.0211805182238538E-2</v>
      </c>
      <c r="Q50" s="13">
        <f>+Q28/M28-1</f>
        <v>-7.7922722087197971E-2</v>
      </c>
      <c r="R50" s="13">
        <f>+R28/N28-1</f>
        <v>2.847080997966378E-2</v>
      </c>
      <c r="S50" s="13">
        <f>+S28/O28-1</f>
        <v>1.736636245110823E-2</v>
      </c>
      <c r="X50" s="13">
        <f t="shared" ref="X50:Y50" si="61">+X28/W28-1</f>
        <v>1.072913211719182</v>
      </c>
      <c r="Y50" s="13">
        <f t="shared" si="61"/>
        <v>0.5982826208698897</v>
      </c>
      <c r="Z50" s="13">
        <f>+Z28/Y28-1</f>
        <v>0.26926285580805565</v>
      </c>
      <c r="AA50" s="13">
        <f>+AA28/Z28-1</f>
        <v>-1.3934167630664795E-3</v>
      </c>
    </row>
    <row r="52" spans="1:27" s="10" customFormat="1" x14ac:dyDescent="0.2">
      <c r="A52" s="9" t="s">
        <v>58</v>
      </c>
      <c r="B52" s="9"/>
      <c r="C52" s="9"/>
      <c r="D52" s="9"/>
      <c r="E52" s="9"/>
      <c r="F52" s="9"/>
      <c r="G52" s="9"/>
      <c r="H52" s="9"/>
      <c r="I52" s="9"/>
      <c r="R52" s="41">
        <v>-92.7</v>
      </c>
    </row>
    <row r="53" spans="1:27" x14ac:dyDescent="0.2">
      <c r="A53" s="23" t="s">
        <v>59</v>
      </c>
      <c r="R53" s="37">
        <v>79.099999999999994</v>
      </c>
    </row>
    <row r="54" spans="1:27" s="10" customFormat="1" x14ac:dyDescent="0.2">
      <c r="A54" s="9" t="s">
        <v>60</v>
      </c>
      <c r="B54" s="9"/>
      <c r="C54" s="9"/>
      <c r="D54" s="9"/>
      <c r="E54" s="9"/>
      <c r="F54" s="9"/>
      <c r="G54" s="9"/>
      <c r="H54" s="9"/>
      <c r="I54" s="9"/>
      <c r="R54" s="41">
        <f>+R52+R53</f>
        <v>-13.600000000000009</v>
      </c>
    </row>
    <row r="55" spans="1:27" x14ac:dyDescent="0.2">
      <c r="A55" s="23" t="s">
        <v>61</v>
      </c>
      <c r="R55" s="37">
        <v>3.7</v>
      </c>
    </row>
    <row r="56" spans="1:27" x14ac:dyDescent="0.2">
      <c r="A56" s="23" t="s">
        <v>62</v>
      </c>
      <c r="J56" s="10"/>
      <c r="R56" s="37">
        <v>26.6</v>
      </c>
    </row>
    <row r="57" spans="1:27" s="10" customFormat="1" x14ac:dyDescent="0.2">
      <c r="A57" s="9" t="s">
        <v>63</v>
      </c>
      <c r="B57" s="9"/>
      <c r="C57" s="9"/>
      <c r="D57" s="9"/>
      <c r="E57" s="9"/>
      <c r="F57" s="9"/>
      <c r="G57" s="9"/>
      <c r="H57" s="9"/>
      <c r="I57" s="9"/>
      <c r="J57" s="42"/>
      <c r="R57" s="41">
        <f>+R54+SUM(R55:R56)</f>
        <v>16.699999999999992</v>
      </c>
    </row>
    <row r="58" spans="1:27" s="10" customFormat="1" x14ac:dyDescent="0.2">
      <c r="A58" s="9"/>
      <c r="B58" s="9"/>
      <c r="C58" s="9"/>
      <c r="D58" s="9"/>
      <c r="E58" s="9"/>
      <c r="F58" s="9"/>
      <c r="G58" s="9"/>
      <c r="H58" s="9"/>
      <c r="I58" s="9"/>
      <c r="J58" s="42"/>
      <c r="R58" s="41"/>
    </row>
    <row r="59" spans="1:27" s="40" customFormat="1" x14ac:dyDescent="0.2">
      <c r="A59" s="36" t="s">
        <v>83</v>
      </c>
      <c r="B59" s="36"/>
      <c r="C59" s="36"/>
      <c r="D59" s="36"/>
      <c r="E59" s="36">
        <f>+E67-E70</f>
        <v>577.6</v>
      </c>
      <c r="F59" s="36">
        <f>+F67-F70</f>
        <v>723.69999999999993</v>
      </c>
      <c r="G59" s="36">
        <f>+G67-G70</f>
        <v>780.8</v>
      </c>
      <c r="H59" s="36">
        <f>+H67-H70</f>
        <v>801.2</v>
      </c>
      <c r="I59" s="36">
        <f>+I67-I70</f>
        <v>671.90000000000009</v>
      </c>
    </row>
    <row r="60" spans="1:27" s="40" customFormat="1" x14ac:dyDescent="0.2">
      <c r="A60" s="36" t="s">
        <v>84</v>
      </c>
      <c r="B60" s="36"/>
      <c r="C60" s="36"/>
      <c r="D60" s="36"/>
      <c r="E60" s="36">
        <v>263.10000000000002</v>
      </c>
      <c r="F60" s="36">
        <v>290.89999999999998</v>
      </c>
      <c r="G60" s="36">
        <v>353.8</v>
      </c>
      <c r="H60" s="36">
        <v>480.4</v>
      </c>
      <c r="I60" s="36">
        <v>618.6</v>
      </c>
    </row>
    <row r="61" spans="1:27" s="40" customFormat="1" x14ac:dyDescent="0.2">
      <c r="A61" s="36" t="s">
        <v>85</v>
      </c>
      <c r="B61" s="36"/>
      <c r="C61" s="36"/>
      <c r="D61" s="36"/>
      <c r="E61" s="36">
        <f>58.3+206.6</f>
        <v>264.89999999999998</v>
      </c>
      <c r="F61" s="36">
        <f>62.2+216.4</f>
        <v>278.60000000000002</v>
      </c>
      <c r="G61" s="36">
        <f>56.9+214.3</f>
        <v>271.2</v>
      </c>
      <c r="H61" s="36">
        <f>59.1+218.7</f>
        <v>277.8</v>
      </c>
      <c r="I61" s="36">
        <f>82.6+274.1</f>
        <v>356.70000000000005</v>
      </c>
    </row>
    <row r="62" spans="1:27" s="40" customFormat="1" x14ac:dyDescent="0.2">
      <c r="A62" s="36" t="s">
        <v>86</v>
      </c>
      <c r="B62" s="36"/>
      <c r="C62" s="36"/>
      <c r="D62" s="36"/>
      <c r="E62" s="36">
        <v>9</v>
      </c>
      <c r="F62" s="36">
        <v>8.1</v>
      </c>
      <c r="G62" s="36">
        <v>7.2</v>
      </c>
      <c r="H62" s="36">
        <v>6.1</v>
      </c>
      <c r="I62" s="36">
        <v>0</v>
      </c>
    </row>
    <row r="63" spans="1:27" s="40" customFormat="1" x14ac:dyDescent="0.2">
      <c r="A63" s="36" t="s">
        <v>87</v>
      </c>
      <c r="B63" s="36"/>
      <c r="C63" s="36"/>
      <c r="D63" s="36"/>
      <c r="E63" s="36">
        <v>45.2</v>
      </c>
      <c r="F63" s="36">
        <v>47.1</v>
      </c>
      <c r="G63" s="36">
        <v>47.4</v>
      </c>
      <c r="H63" s="36">
        <v>51.7</v>
      </c>
      <c r="I63" s="36">
        <v>52.8</v>
      </c>
    </row>
    <row r="64" spans="1:27" s="40" customFormat="1" x14ac:dyDescent="0.2">
      <c r="A64" s="36" t="s">
        <v>88</v>
      </c>
      <c r="B64" s="36"/>
      <c r="C64" s="36"/>
      <c r="D64" s="36"/>
      <c r="E64" s="36">
        <v>113.7</v>
      </c>
      <c r="F64" s="36">
        <v>142.9</v>
      </c>
      <c r="G64" s="36">
        <v>166.2</v>
      </c>
      <c r="H64" s="36">
        <v>187.6</v>
      </c>
      <c r="I64" s="36">
        <v>220.4</v>
      </c>
    </row>
    <row r="65" spans="1:19" s="40" customFormat="1" x14ac:dyDescent="0.2">
      <c r="A65" s="36" t="s">
        <v>89</v>
      </c>
      <c r="B65" s="36"/>
      <c r="C65" s="36"/>
      <c r="D65" s="36"/>
      <c r="E65" s="36">
        <v>28.8</v>
      </c>
      <c r="F65" s="36">
        <v>14.7</v>
      </c>
      <c r="G65" s="36">
        <v>26.3</v>
      </c>
      <c r="H65" s="36">
        <v>37.5</v>
      </c>
      <c r="I65" s="36">
        <v>21.4</v>
      </c>
    </row>
    <row r="66" spans="1:19" s="40" customFormat="1" x14ac:dyDescent="0.2">
      <c r="A66" s="36" t="s">
        <v>20</v>
      </c>
      <c r="B66" s="36"/>
      <c r="C66" s="36"/>
      <c r="D66" s="36"/>
      <c r="E66" s="36">
        <f>20.8+0.6+6.5+44</f>
        <v>71.900000000000006</v>
      </c>
      <c r="F66" s="36">
        <f>18.4+0.6+7.5+51.4</f>
        <v>77.900000000000006</v>
      </c>
      <c r="G66" s="36">
        <f>21.1+0.5+8.9+60.5</f>
        <v>91</v>
      </c>
      <c r="H66" s="36">
        <f>23.8+0.5+10.3+68.8</f>
        <v>103.4</v>
      </c>
      <c r="I66" s="36">
        <f>27+0.4+11.3+72.9</f>
        <v>111.60000000000001</v>
      </c>
    </row>
    <row r="67" spans="1:19" s="40" customFormat="1" x14ac:dyDescent="0.2">
      <c r="A67" s="36" t="s">
        <v>4</v>
      </c>
      <c r="B67" s="36"/>
      <c r="C67" s="36"/>
      <c r="D67" s="36"/>
      <c r="E67" s="36">
        <v>729</v>
      </c>
      <c r="F67" s="36">
        <v>876.3</v>
      </c>
      <c r="G67" s="36">
        <v>933.4</v>
      </c>
      <c r="H67" s="36">
        <v>955.1</v>
      </c>
      <c r="I67" s="36">
        <v>827.1</v>
      </c>
    </row>
    <row r="68" spans="1:19" s="10" customFormat="1" x14ac:dyDescent="0.2">
      <c r="A68" s="35" t="s">
        <v>90</v>
      </c>
      <c r="B68" s="35"/>
      <c r="C68" s="35"/>
      <c r="D68" s="35"/>
      <c r="E68" s="35">
        <f>+SUM(E60:E67)</f>
        <v>1525.6</v>
      </c>
      <c r="F68" s="35">
        <f>+SUM(F60:F67)</f>
        <v>1736.5</v>
      </c>
      <c r="G68" s="35">
        <f>+SUM(G60:G67)</f>
        <v>1896.5</v>
      </c>
      <c r="H68" s="35">
        <f>+SUM(H60:H67)</f>
        <v>2099.6000000000004</v>
      </c>
      <c r="I68" s="35">
        <f>+SUM(I60:I67)</f>
        <v>2208.6000000000004</v>
      </c>
    </row>
    <row r="69" spans="1:19" s="40" customFormat="1" x14ac:dyDescent="0.2">
      <c r="A69" s="36" t="s">
        <v>91</v>
      </c>
      <c r="B69" s="36"/>
      <c r="C69" s="36"/>
      <c r="D69" s="36"/>
      <c r="E69" s="36">
        <v>6.2</v>
      </c>
      <c r="F69" s="36">
        <v>9</v>
      </c>
      <c r="G69" s="36">
        <v>4.2</v>
      </c>
      <c r="H69" s="36">
        <v>6.2</v>
      </c>
      <c r="I69" s="36">
        <v>16.100000000000001</v>
      </c>
    </row>
    <row r="70" spans="1:19" s="40" customFormat="1" x14ac:dyDescent="0.2">
      <c r="A70" s="36" t="s">
        <v>5</v>
      </c>
      <c r="B70" s="36"/>
      <c r="C70" s="36"/>
      <c r="D70" s="36"/>
      <c r="E70" s="36">
        <v>151.4</v>
      </c>
      <c r="F70" s="36">
        <v>152.6</v>
      </c>
      <c r="G70" s="36">
        <v>152.6</v>
      </c>
      <c r="H70" s="36">
        <v>153.9</v>
      </c>
      <c r="I70" s="36">
        <v>155.19999999999999</v>
      </c>
    </row>
    <row r="71" spans="1:19" s="40" customFormat="1" x14ac:dyDescent="0.2">
      <c r="A71" s="36" t="s">
        <v>92</v>
      </c>
      <c r="B71" s="36"/>
      <c r="C71" s="36"/>
      <c r="D71" s="36"/>
      <c r="E71" s="36">
        <f>0.7+17.2</f>
        <v>17.899999999999999</v>
      </c>
      <c r="F71" s="36">
        <f>0.8+19.5</f>
        <v>20.3</v>
      </c>
      <c r="G71" s="36">
        <f>0.7+20.2</f>
        <v>20.9</v>
      </c>
      <c r="H71" s="36">
        <f>0.8+25.1</f>
        <v>25.900000000000002</v>
      </c>
      <c r="I71" s="36">
        <f>10.2+26.2</f>
        <v>36.4</v>
      </c>
    </row>
    <row r="72" spans="1:19" s="40" customFormat="1" x14ac:dyDescent="0.2">
      <c r="A72" s="36" t="s">
        <v>93</v>
      </c>
      <c r="B72" s="36"/>
      <c r="C72" s="36"/>
      <c r="D72" s="36"/>
      <c r="E72" s="36">
        <v>291.7</v>
      </c>
      <c r="F72" s="36">
        <v>412.3</v>
      </c>
      <c r="G72" s="36">
        <v>421.7</v>
      </c>
      <c r="H72" s="36">
        <v>456.5</v>
      </c>
      <c r="I72" s="36">
        <v>440.7</v>
      </c>
    </row>
    <row r="73" spans="1:19" s="40" customFormat="1" x14ac:dyDescent="0.2">
      <c r="A73" s="36" t="s">
        <v>26</v>
      </c>
      <c r="B73" s="36"/>
      <c r="C73" s="36"/>
      <c r="D73" s="36"/>
      <c r="E73" s="36">
        <v>55.1</v>
      </c>
      <c r="F73" s="36">
        <v>53.9</v>
      </c>
      <c r="G73" s="36">
        <v>87.9</v>
      </c>
      <c r="H73" s="36">
        <v>91.1</v>
      </c>
      <c r="I73" s="36">
        <v>82.8</v>
      </c>
    </row>
    <row r="74" spans="1:19" s="40" customFormat="1" x14ac:dyDescent="0.2">
      <c r="A74" s="36" t="s">
        <v>20</v>
      </c>
      <c r="B74" s="36"/>
      <c r="C74" s="36"/>
      <c r="D74" s="36"/>
      <c r="E74" s="36">
        <f>182.4+9.1+34+121.8</f>
        <v>347.3</v>
      </c>
      <c r="F74" s="36">
        <f>185.4+9.4+38.9+124.9</f>
        <v>358.6</v>
      </c>
      <c r="G74" s="36">
        <f>203.2+9.4+74.3+51.3</f>
        <v>338.2</v>
      </c>
      <c r="H74" s="36">
        <f>282.1+9.7+84.4+52.3</f>
        <v>428.50000000000006</v>
      </c>
      <c r="I74" s="36">
        <f>304.3+0.9+91.7+80.2</f>
        <v>477.09999999999997</v>
      </c>
    </row>
    <row r="75" spans="1:19" s="10" customFormat="1" x14ac:dyDescent="0.2">
      <c r="A75" s="35" t="s">
        <v>94</v>
      </c>
      <c r="B75" s="35"/>
      <c r="C75" s="35"/>
      <c r="D75" s="35"/>
      <c r="E75" s="35">
        <f>+SUM(E69:E74)</f>
        <v>869.59999999999991</v>
      </c>
      <c r="F75" s="35">
        <f>+SUM(F69:F74)</f>
        <v>1006.7</v>
      </c>
      <c r="G75" s="35">
        <f>+SUM(G69:G74)</f>
        <v>1025.5</v>
      </c>
      <c r="H75" s="35">
        <f>+SUM(H69:H74)</f>
        <v>1162.1000000000001</v>
      </c>
      <c r="I75" s="35">
        <f>+SUM(I69:I74)</f>
        <v>1208.3</v>
      </c>
    </row>
    <row r="76" spans="1:19" s="40" customFormat="1" x14ac:dyDescent="0.2">
      <c r="A76" s="36" t="s">
        <v>95</v>
      </c>
      <c r="B76" s="36"/>
      <c r="C76" s="36"/>
      <c r="D76" s="36"/>
      <c r="E76" s="36">
        <f>+E68-E75</f>
        <v>656</v>
      </c>
      <c r="F76" s="36">
        <f>+F68-F75</f>
        <v>729.8</v>
      </c>
      <c r="G76" s="36">
        <f>+G68-G75</f>
        <v>871</v>
      </c>
      <c r="H76" s="36">
        <f>+H68-H75</f>
        <v>937.50000000000023</v>
      </c>
      <c r="I76" s="36">
        <f>+I68-I75</f>
        <v>1000.3000000000004</v>
      </c>
    </row>
    <row r="77" spans="1:19" s="40" customFormat="1" x14ac:dyDescent="0.2">
      <c r="A77" s="36" t="s">
        <v>96</v>
      </c>
      <c r="B77" s="36"/>
      <c r="C77" s="36"/>
      <c r="D77" s="36"/>
      <c r="E77" s="36">
        <f>+E76+E75</f>
        <v>1525.6</v>
      </c>
      <c r="F77" s="36">
        <f>+F76+F75</f>
        <v>1736.5</v>
      </c>
      <c r="G77" s="36">
        <f>+G76+G75</f>
        <v>1896.5</v>
      </c>
      <c r="H77" s="36">
        <f>+H76+H75</f>
        <v>2099.6000000000004</v>
      </c>
      <c r="I77" s="36">
        <f>+I76+I75</f>
        <v>2208.6000000000004</v>
      </c>
    </row>
    <row r="78" spans="1:19" s="40" customFormat="1" x14ac:dyDescent="0.2">
      <c r="A78" s="23"/>
      <c r="B78" s="23"/>
      <c r="C78" s="23"/>
      <c r="D78" s="23"/>
      <c r="E78" s="23"/>
      <c r="F78" s="23"/>
      <c r="G78" s="23"/>
      <c r="H78" s="23"/>
      <c r="I78" s="23"/>
      <c r="J78" s="43"/>
      <c r="R78" s="44"/>
    </row>
    <row r="79" spans="1:19" x14ac:dyDescent="0.2">
      <c r="A79" s="23" t="s">
        <v>101</v>
      </c>
      <c r="E79" s="39">
        <f>+SUM(B41:E41)</f>
        <v>382.19999999999993</v>
      </c>
      <c r="F79" s="39">
        <f t="shared" ref="F79:S79" si="62">+SUM(C41:F41)</f>
        <v>443.89999999999986</v>
      </c>
      <c r="G79" s="39">
        <f t="shared" si="62"/>
        <v>411.89999999999975</v>
      </c>
      <c r="H79" s="39">
        <f t="shared" si="62"/>
        <v>360.69999999999987</v>
      </c>
      <c r="I79" s="39">
        <f t="shared" si="62"/>
        <v>242.99999999999994</v>
      </c>
      <c r="J79" s="39">
        <f t="shared" si="62"/>
        <v>178.39999999999998</v>
      </c>
      <c r="K79" s="39">
        <f t="shared" si="62"/>
        <v>158.89999999999998</v>
      </c>
      <c r="L79" s="39">
        <f t="shared" si="62"/>
        <v>139.39999999999992</v>
      </c>
      <c r="M79" s="39">
        <f t="shared" si="62"/>
        <v>82.299999999999969</v>
      </c>
      <c r="N79" s="39">
        <f t="shared" si="62"/>
        <v>18.999999999999975</v>
      </c>
      <c r="O79" s="39">
        <f t="shared" si="62"/>
        <v>20.200000000000117</v>
      </c>
      <c r="P79" s="39">
        <f t="shared" si="62"/>
        <v>4.0000000000001013</v>
      </c>
      <c r="Q79" s="39">
        <f t="shared" si="62"/>
        <v>39.90000000000046</v>
      </c>
      <c r="R79" s="39">
        <f t="shared" si="62"/>
        <v>-20.49999999999946</v>
      </c>
      <c r="S79" s="39">
        <f t="shared" si="62"/>
        <v>-67.999999999999716</v>
      </c>
    </row>
    <row r="80" spans="1:19" s="27" customFormat="1" x14ac:dyDescent="0.2">
      <c r="A80" s="45" t="s">
        <v>102</v>
      </c>
      <c r="B80" s="26"/>
      <c r="C80" s="26"/>
      <c r="D80" s="26"/>
      <c r="E80" s="26">
        <f>+E79/(E60+E62+E63+E64+E65+E66)</f>
        <v>0.71882640586797042</v>
      </c>
      <c r="F80" s="26">
        <f>+F79/(F60+F62+F63+F64+F65+F66)</f>
        <v>0.76323933975240688</v>
      </c>
      <c r="G80" s="26">
        <f t="shared" ref="G80:H80" si="63">+G79/(G60+G62+G63+G64+G65+G66)</f>
        <v>0.59531724237606565</v>
      </c>
      <c r="H80" s="26">
        <f t="shared" si="63"/>
        <v>0.41617630091150326</v>
      </c>
      <c r="I80" s="26"/>
    </row>
    <row r="82" spans="1:27" s="40" customFormat="1" x14ac:dyDescent="0.2">
      <c r="A82" s="23" t="s">
        <v>97</v>
      </c>
      <c r="B82" s="23">
        <v>132.5</v>
      </c>
      <c r="C82" s="23">
        <v>281.39999999999998</v>
      </c>
      <c r="D82" s="23"/>
      <c r="E82" s="23"/>
      <c r="F82" s="23">
        <v>208.7</v>
      </c>
      <c r="G82" s="23">
        <f>311.3-F82</f>
        <v>102.60000000000002</v>
      </c>
      <c r="H82" s="23">
        <v>85.2</v>
      </c>
      <c r="I82" s="23"/>
      <c r="J82" s="43"/>
      <c r="R82" s="44"/>
    </row>
    <row r="83" spans="1:27" s="40" customFormat="1" x14ac:dyDescent="0.2">
      <c r="A83" s="23" t="s">
        <v>98</v>
      </c>
      <c r="B83" s="23">
        <v>-15.7</v>
      </c>
      <c r="C83" s="23">
        <v>-24.9</v>
      </c>
      <c r="D83" s="23"/>
      <c r="E83" s="23"/>
      <c r="F83" s="23">
        <v>-27.2</v>
      </c>
      <c r="G83" s="23">
        <f>-64.5-F83</f>
        <v>-37.299999999999997</v>
      </c>
      <c r="H83" s="23">
        <v>-52.9</v>
      </c>
      <c r="I83" s="23"/>
      <c r="J83" s="43"/>
      <c r="R83" s="44"/>
    </row>
    <row r="84" spans="1:27" s="40" customFormat="1" x14ac:dyDescent="0.2">
      <c r="A84" s="23"/>
      <c r="B84" s="23"/>
      <c r="C84" s="23"/>
      <c r="D84" s="23"/>
      <c r="E84" s="23"/>
      <c r="F84" s="23"/>
      <c r="G84" s="23"/>
      <c r="H84" s="23"/>
      <c r="I84" s="23"/>
      <c r="J84" s="43"/>
      <c r="R84" s="44"/>
    </row>
    <row r="85" spans="1:27" s="40" customFormat="1" x14ac:dyDescent="0.2">
      <c r="A85" s="23" t="s">
        <v>99</v>
      </c>
      <c r="B85" s="23">
        <f>+B82+B83</f>
        <v>116.8</v>
      </c>
      <c r="C85" s="23">
        <f>+C82+C83</f>
        <v>256.5</v>
      </c>
      <c r="D85" s="23"/>
      <c r="E85" s="23"/>
      <c r="F85" s="23">
        <f>+F82+F83</f>
        <v>181.5</v>
      </c>
      <c r="G85" s="23">
        <f>+G82+G83</f>
        <v>65.300000000000026</v>
      </c>
      <c r="H85" s="23">
        <f>+H82+H83</f>
        <v>32.300000000000004</v>
      </c>
      <c r="I85" s="23"/>
      <c r="J85" s="43"/>
      <c r="R85" s="44"/>
    </row>
    <row r="86" spans="1:27" s="40" customFormat="1" x14ac:dyDescent="0.2">
      <c r="A86" s="23" t="s">
        <v>100</v>
      </c>
      <c r="B86" s="23"/>
      <c r="C86" s="23"/>
      <c r="D86" s="23"/>
      <c r="E86" s="23"/>
      <c r="F86" s="23"/>
      <c r="G86" s="23"/>
      <c r="H86" s="23"/>
      <c r="I86" s="23"/>
      <c r="J86" s="43"/>
      <c r="R86" s="44"/>
    </row>
    <row r="87" spans="1:27" s="40" customFormat="1" x14ac:dyDescent="0.2">
      <c r="A87" s="23"/>
      <c r="B87" s="23"/>
      <c r="C87" s="23"/>
      <c r="D87" s="23"/>
      <c r="E87" s="23"/>
      <c r="F87" s="23"/>
      <c r="G87" s="23"/>
      <c r="H87" s="23"/>
      <c r="I87" s="23"/>
      <c r="J87" s="43"/>
      <c r="R87" s="44"/>
    </row>
    <row r="88" spans="1:27" s="40" customFormat="1" x14ac:dyDescent="0.2">
      <c r="A88" s="23"/>
      <c r="B88" s="23"/>
      <c r="C88" s="23"/>
      <c r="D88" s="23"/>
      <c r="E88" s="23"/>
      <c r="F88" s="23"/>
      <c r="G88" s="23"/>
      <c r="H88" s="23"/>
      <c r="I88" s="23"/>
      <c r="J88" s="43"/>
      <c r="R88" s="44"/>
    </row>
    <row r="89" spans="1:27" s="40" customFormat="1" x14ac:dyDescent="0.2">
      <c r="A89" s="23"/>
      <c r="B89" s="23"/>
      <c r="C89" s="23"/>
      <c r="D89" s="23"/>
      <c r="E89" s="23"/>
      <c r="F89" s="23"/>
      <c r="G89" s="23"/>
      <c r="H89" s="23"/>
      <c r="I89" s="23"/>
      <c r="J89" s="43"/>
      <c r="R89" s="44"/>
    </row>
    <row r="91" spans="1:27" x14ac:dyDescent="0.2">
      <c r="A91" s="23" t="s">
        <v>64</v>
      </c>
      <c r="X91" s="6">
        <v>551</v>
      </c>
      <c r="Y91" s="6">
        <v>1196</v>
      </c>
      <c r="Z91" s="6">
        <v>2038</v>
      </c>
      <c r="AA91" s="6">
        <v>1961</v>
      </c>
    </row>
    <row r="92" spans="1:27" x14ac:dyDescent="0.2">
      <c r="A92" s="23" t="s">
        <v>65</v>
      </c>
      <c r="X92" s="6">
        <v>0</v>
      </c>
      <c r="Y92" s="6">
        <v>87</v>
      </c>
      <c r="Z92" s="6">
        <v>120</v>
      </c>
      <c r="AA92" s="6">
        <v>153</v>
      </c>
    </row>
    <row r="93" spans="1:27" x14ac:dyDescent="0.2">
      <c r="A93" s="23" t="s">
        <v>66</v>
      </c>
      <c r="X93" s="6">
        <v>356</v>
      </c>
      <c r="Y93" s="6">
        <v>578</v>
      </c>
      <c r="Z93" s="6">
        <v>723</v>
      </c>
      <c r="AA93" s="6">
        <v>813</v>
      </c>
    </row>
    <row r="94" spans="1:27" x14ac:dyDescent="0.2">
      <c r="A94" s="23" t="s">
        <v>81</v>
      </c>
      <c r="X94" s="6">
        <v>27</v>
      </c>
      <c r="Y94" s="6">
        <v>58</v>
      </c>
      <c r="Z94" s="6">
        <v>100</v>
      </c>
      <c r="AA94" s="6">
        <v>123</v>
      </c>
    </row>
    <row r="95" spans="1:27" x14ac:dyDescent="0.2">
      <c r="A95" s="23" t="s">
        <v>67</v>
      </c>
      <c r="X95" s="6">
        <v>8</v>
      </c>
      <c r="Y95" s="6">
        <v>28</v>
      </c>
      <c r="Z95" s="6">
        <v>62</v>
      </c>
      <c r="AA95" s="6">
        <v>181</v>
      </c>
    </row>
    <row r="96" spans="1:27" x14ac:dyDescent="0.2">
      <c r="A96" s="23" t="s">
        <v>68</v>
      </c>
      <c r="X96" s="6">
        <v>1483</v>
      </c>
      <c r="Y96" s="6">
        <v>2793</v>
      </c>
      <c r="Z96" s="6">
        <v>2823</v>
      </c>
      <c r="AA96" s="6">
        <v>3203</v>
      </c>
    </row>
    <row r="97" spans="1:27" x14ac:dyDescent="0.2">
      <c r="A97" s="23" t="s">
        <v>69</v>
      </c>
      <c r="X97" s="6">
        <v>0</v>
      </c>
      <c r="Y97" s="6">
        <v>12</v>
      </c>
      <c r="Z97" s="6">
        <v>30</v>
      </c>
      <c r="AA97" s="6">
        <v>38</v>
      </c>
    </row>
    <row r="98" spans="1:27" x14ac:dyDescent="0.2">
      <c r="A98" s="23" t="s">
        <v>79</v>
      </c>
      <c r="X98" s="6">
        <v>0</v>
      </c>
      <c r="Y98" s="6">
        <v>0</v>
      </c>
      <c r="Z98" s="6">
        <v>13</v>
      </c>
      <c r="AA98" s="6">
        <v>21</v>
      </c>
    </row>
    <row r="99" spans="1:27" x14ac:dyDescent="0.2">
      <c r="A99" s="23" t="s">
        <v>70</v>
      </c>
      <c r="X99" s="6">
        <v>0</v>
      </c>
      <c r="Y99" s="6">
        <v>12</v>
      </c>
      <c r="Z99" s="6">
        <v>31</v>
      </c>
      <c r="AA99" s="6">
        <v>0</v>
      </c>
    </row>
    <row r="100" spans="1:27" x14ac:dyDescent="0.2">
      <c r="A100" s="23" t="s">
        <v>78</v>
      </c>
      <c r="X100" s="6">
        <v>331</v>
      </c>
      <c r="Y100" s="6">
        <v>659</v>
      </c>
      <c r="Z100" s="6">
        <v>717</v>
      </c>
      <c r="AA100" s="6">
        <v>726</v>
      </c>
    </row>
    <row r="101" spans="1:27" x14ac:dyDescent="0.2">
      <c r="A101" s="23" t="s">
        <v>71</v>
      </c>
      <c r="X101" s="6">
        <v>24</v>
      </c>
      <c r="Y101" s="6">
        <v>34</v>
      </c>
      <c r="Z101" s="6">
        <v>46</v>
      </c>
      <c r="AA101" s="6">
        <v>47</v>
      </c>
    </row>
    <row r="102" spans="1:27" x14ac:dyDescent="0.2">
      <c r="A102" s="23" t="s">
        <v>72</v>
      </c>
      <c r="X102" s="6">
        <v>0</v>
      </c>
      <c r="Y102" s="6">
        <v>3</v>
      </c>
      <c r="Z102" s="6">
        <v>3</v>
      </c>
      <c r="AA102" s="6">
        <v>4</v>
      </c>
    </row>
    <row r="103" spans="1:27" x14ac:dyDescent="0.2">
      <c r="A103" s="23" t="s">
        <v>73</v>
      </c>
      <c r="X103" s="6">
        <v>214</v>
      </c>
      <c r="Y103" s="6">
        <v>501</v>
      </c>
      <c r="Z103" s="6">
        <v>801</v>
      </c>
      <c r="AA103" s="6">
        <v>1092</v>
      </c>
    </row>
    <row r="104" spans="1:27" x14ac:dyDescent="0.2">
      <c r="A104" s="23" t="s">
        <v>80</v>
      </c>
      <c r="X104" s="6">
        <v>0</v>
      </c>
      <c r="Y104" s="6">
        <v>0</v>
      </c>
      <c r="Z104" s="6">
        <v>18</v>
      </c>
      <c r="AA104" s="6">
        <v>31</v>
      </c>
    </row>
    <row r="105" spans="1:27" x14ac:dyDescent="0.2">
      <c r="A105" s="23" t="s">
        <v>74</v>
      </c>
      <c r="X105" s="6">
        <v>1</v>
      </c>
      <c r="Y105" s="6">
        <v>4</v>
      </c>
      <c r="Z105" s="6">
        <v>11</v>
      </c>
      <c r="AA105" s="6">
        <v>119</v>
      </c>
    </row>
    <row r="106" spans="1:27" x14ac:dyDescent="0.2">
      <c r="A106" s="23" t="s">
        <v>75</v>
      </c>
      <c r="X106" s="6">
        <v>2</v>
      </c>
      <c r="Y106" s="6">
        <v>2</v>
      </c>
      <c r="Z106" s="6">
        <v>2</v>
      </c>
      <c r="AA106" s="6">
        <v>0</v>
      </c>
    </row>
    <row r="107" spans="1:27" x14ac:dyDescent="0.2">
      <c r="A107" s="23" t="s">
        <v>76</v>
      </c>
      <c r="X107" s="6">
        <v>634</v>
      </c>
      <c r="Y107" s="6">
        <v>1826</v>
      </c>
      <c r="Z107" s="6">
        <v>2107</v>
      </c>
      <c r="AA107" s="6">
        <v>1796</v>
      </c>
    </row>
    <row r="108" spans="1:27" x14ac:dyDescent="0.2">
      <c r="A108" s="23" t="s">
        <v>77</v>
      </c>
      <c r="X108" s="6">
        <v>2801</v>
      </c>
      <c r="Y108" s="6">
        <v>6842</v>
      </c>
      <c r="Z108" s="6">
        <v>10277</v>
      </c>
      <c r="AA108" s="6">
        <v>8704</v>
      </c>
    </row>
    <row r="109" spans="1:27" s="10" customFormat="1" x14ac:dyDescent="0.2">
      <c r="A109" s="9" t="s">
        <v>82</v>
      </c>
      <c r="B109" s="9"/>
      <c r="C109" s="9"/>
      <c r="D109" s="9"/>
      <c r="E109" s="9"/>
      <c r="F109" s="9"/>
      <c r="G109" s="9"/>
      <c r="H109" s="9"/>
      <c r="I109" s="9"/>
      <c r="W109" s="10">
        <v>6432</v>
      </c>
      <c r="X109" s="10">
        <v>4477</v>
      </c>
      <c r="Y109" s="10">
        <v>14635</v>
      </c>
      <c r="Z109" s="10">
        <v>19922</v>
      </c>
      <c r="AA109" s="10">
        <v>19012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B1D0-D2FD-4519-9D7F-5AB37743062B}">
  <dimension ref="B2:AE49"/>
  <sheetViews>
    <sheetView tabSelected="1" topLeftCell="A15" zoomScale="89" zoomScaleNormal="89" workbookViewId="0">
      <selection activeCell="G54" sqref="G54"/>
    </sheetView>
  </sheetViews>
  <sheetFormatPr defaultRowHeight="14.25" x14ac:dyDescent="0.2"/>
  <cols>
    <col min="1" max="5" width="9.140625" style="46"/>
    <col min="6" max="6" width="15.5703125" style="46" bestFit="1" customWidth="1"/>
    <col min="7" max="9" width="9.140625" style="46"/>
    <col min="10" max="10" width="10" style="46" customWidth="1"/>
    <col min="11" max="21" width="9.140625" style="46"/>
    <col min="22" max="22" width="10.5703125" style="46" bestFit="1" customWidth="1"/>
    <col min="23" max="16384" width="9.140625" style="46"/>
  </cols>
  <sheetData>
    <row r="2" spans="6:29" ht="15" thickBot="1" x14ac:dyDescent="0.25"/>
    <row r="3" spans="6:29" ht="15" x14ac:dyDescent="0.25">
      <c r="F3" s="48" t="s">
        <v>17</v>
      </c>
      <c r="G3" s="54">
        <v>2014</v>
      </c>
      <c r="H3" s="57" t="s">
        <v>112</v>
      </c>
      <c r="I3" s="54">
        <f>+G3+1</f>
        <v>2015</v>
      </c>
      <c r="J3" s="57" t="s">
        <v>112</v>
      </c>
      <c r="K3" s="54">
        <f>+I3+1</f>
        <v>2016</v>
      </c>
      <c r="L3" s="57" t="s">
        <v>112</v>
      </c>
      <c r="M3" s="54">
        <f>+K3+1</f>
        <v>2017</v>
      </c>
      <c r="N3" s="57" t="s">
        <v>112</v>
      </c>
      <c r="O3" s="54">
        <f>+M3+1</f>
        <v>2018</v>
      </c>
      <c r="P3" s="57" t="s">
        <v>112</v>
      </c>
      <c r="Q3" s="54">
        <f>+O3+1</f>
        <v>2019</v>
      </c>
      <c r="R3" s="57" t="s">
        <v>112</v>
      </c>
      <c r="S3" s="54">
        <f>+Q3+1</f>
        <v>2020</v>
      </c>
      <c r="T3" s="57" t="s">
        <v>112</v>
      </c>
      <c r="U3" s="54">
        <f>+S3+1</f>
        <v>2021</v>
      </c>
      <c r="V3" s="57" t="s">
        <v>112</v>
      </c>
      <c r="W3" s="54">
        <f>+U3+1</f>
        <v>2022</v>
      </c>
      <c r="X3" s="57" t="s">
        <v>112</v>
      </c>
      <c r="Y3" s="54">
        <f>+W3+1</f>
        <v>2023</v>
      </c>
      <c r="Z3" s="49"/>
      <c r="AA3" s="72" t="s">
        <v>113</v>
      </c>
    </row>
    <row r="4" spans="6:29" x14ac:dyDescent="0.2">
      <c r="F4" s="51" t="s">
        <v>105</v>
      </c>
      <c r="G4" s="46">
        <v>5817</v>
      </c>
      <c r="H4" s="59">
        <f>+I4/G4-1</f>
        <v>0.10297404160220047</v>
      </c>
      <c r="I4" s="46">
        <v>6416</v>
      </c>
      <c r="J4" s="59">
        <f>+K4/I4-1</f>
        <v>2.6184538653366562E-2</v>
      </c>
      <c r="K4" s="46">
        <v>6584</v>
      </c>
      <c r="L4" s="59">
        <f>+M4/K4-1</f>
        <v>6.5006075334143487E-2</v>
      </c>
      <c r="M4" s="46">
        <v>7012</v>
      </c>
      <c r="N4" s="59">
        <f>+O4/M4-1</f>
        <v>9.2127780946948068E-2</v>
      </c>
      <c r="O4" s="46">
        <v>7658</v>
      </c>
      <c r="P4" s="59">
        <f>+Q4/O4-1</f>
        <v>5.6933925306868582E-2</v>
      </c>
      <c r="Q4" s="46">
        <v>8094</v>
      </c>
      <c r="R4" s="59">
        <f>+S4/Q4-1</f>
        <v>-0.63466765505312583</v>
      </c>
      <c r="S4" s="46">
        <v>2957</v>
      </c>
      <c r="T4" s="59">
        <f>+U4/S4-1</f>
        <v>1.0415962123774096</v>
      </c>
      <c r="U4" s="46">
        <v>6037</v>
      </c>
      <c r="V4" s="59">
        <f>+W4/U4-1</f>
        <v>0.51697863177074699</v>
      </c>
      <c r="W4" s="46">
        <v>9158</v>
      </c>
      <c r="X4" s="59">
        <f>+Y4/W4-1</f>
        <v>4.9901725267525565E-2</v>
      </c>
      <c r="Y4" s="46">
        <v>9615</v>
      </c>
      <c r="AA4" s="73">
        <f>(Y4/G4)^(1/10)-1</f>
        <v>5.1538123087076837E-2</v>
      </c>
      <c r="AC4" s="79" t="s">
        <v>116</v>
      </c>
    </row>
    <row r="5" spans="6:29" x14ac:dyDescent="0.2">
      <c r="F5" s="51" t="s">
        <v>111</v>
      </c>
      <c r="G5" s="46">
        <v>18605</v>
      </c>
      <c r="H5" s="59">
        <f>+I5/G5-1</f>
        <v>6.5305025530771221E-2</v>
      </c>
      <c r="I5" s="46">
        <v>19820</v>
      </c>
      <c r="J5" s="59">
        <f>+K5/I5-1</f>
        <v>3.0524722502522694E-2</v>
      </c>
      <c r="K5" s="46">
        <v>20425</v>
      </c>
      <c r="L5" s="58">
        <f>+M5/K5-1</f>
        <v>3.6523867809057586E-2</v>
      </c>
      <c r="M5" s="46">
        <v>21171</v>
      </c>
      <c r="N5" s="59">
        <f>+O5/M5-1</f>
        <v>3.7504133012139285E-2</v>
      </c>
      <c r="O5" s="46">
        <v>21965</v>
      </c>
      <c r="P5" s="59">
        <f>+Q5/O5-1</f>
        <v>2.1078989301160922E-2</v>
      </c>
      <c r="Q5" s="46">
        <v>22428</v>
      </c>
      <c r="R5" s="59">
        <f>+S5/Q5-1</f>
        <v>-0.59657570893525946</v>
      </c>
      <c r="S5" s="46">
        <v>9048</v>
      </c>
      <c r="T5" s="59">
        <f>+U5/S5-1</f>
        <v>0.74513704686118487</v>
      </c>
      <c r="U5" s="46">
        <v>15790</v>
      </c>
      <c r="V5" s="59">
        <f>+W5/U5-1</f>
        <v>0.5081697276757442</v>
      </c>
      <c r="W5" s="46">
        <v>23814</v>
      </c>
      <c r="X5" s="59">
        <f>+Y5/W5-1</f>
        <v>9.5616024187452853E-2</v>
      </c>
      <c r="Y5" s="46">
        <v>26091</v>
      </c>
      <c r="AA5" s="73">
        <f>(Y5/G5)^(1/10)-1</f>
        <v>3.4394267445773119E-2</v>
      </c>
    </row>
    <row r="6" spans="6:29" x14ac:dyDescent="0.2">
      <c r="F6" s="51" t="s">
        <v>106</v>
      </c>
      <c r="G6" s="46">
        <v>5654</v>
      </c>
      <c r="H6" s="59">
        <f t="shared" ref="H6:H8" si="0">+I6/G6-1</f>
        <v>0.15596038203042095</v>
      </c>
      <c r="I6" s="46">
        <v>6535.8</v>
      </c>
      <c r="J6" s="59">
        <f t="shared" ref="J6:J8" si="1">+K6/I6-1</f>
        <v>1.7136387282352672E-2</v>
      </c>
      <c r="K6" s="46">
        <v>6647.8</v>
      </c>
      <c r="L6" s="59">
        <f t="shared" ref="L6:L8" si="2">+M6/K6-1</f>
        <v>7.5694214627395562E-2</v>
      </c>
      <c r="M6" s="46">
        <v>7151</v>
      </c>
      <c r="N6" s="59">
        <f t="shared" ref="N6:N8" si="3">+O6/M6-1</f>
        <v>7.6408893860998361E-2</v>
      </c>
      <c r="O6" s="46">
        <v>7697.4</v>
      </c>
      <c r="P6" s="59">
        <f t="shared" ref="P6:P8" si="4">+Q6/O6-1</f>
        <v>0.10359342115519521</v>
      </c>
      <c r="Q6" s="46">
        <v>8494.7999999999993</v>
      </c>
      <c r="R6" s="59">
        <f t="shared" ref="R6:R8" si="5">+S6/Q6-1</f>
        <v>-0.80743513678956536</v>
      </c>
      <c r="S6" s="46">
        <v>1635.8</v>
      </c>
      <c r="T6" s="59">
        <f t="shared" ref="T6:T8" si="6">+U6/S6-1</f>
        <v>1.9348942413497983</v>
      </c>
      <c r="U6" s="46">
        <v>4800.8999999999996</v>
      </c>
      <c r="V6" s="59">
        <f t="shared" ref="V6:V8" si="7">+W6/U6-1</f>
        <v>1.244412505988461</v>
      </c>
      <c r="W6" s="46">
        <v>10775.2</v>
      </c>
      <c r="X6" s="59">
        <f t="shared" ref="X6:X8" si="8">+Y6/W6-1</f>
        <v>0.24766129631004508</v>
      </c>
      <c r="Y6" s="46">
        <v>13443.8</v>
      </c>
      <c r="AA6" s="73">
        <f>(Y6/G6)^(1/10)-1</f>
        <v>9.0477285924221329E-2</v>
      </c>
    </row>
    <row r="7" spans="6:29" x14ac:dyDescent="0.2">
      <c r="F7" s="51" t="s">
        <v>107</v>
      </c>
      <c r="G7" s="46">
        <v>24930</v>
      </c>
      <c r="H7" s="59">
        <f t="shared" si="0"/>
        <v>4.5407139991977541E-2</v>
      </c>
      <c r="I7" s="46">
        <v>26062</v>
      </c>
      <c r="J7" s="59">
        <f t="shared" si="1"/>
        <v>-4.6657969457447601E-2</v>
      </c>
      <c r="K7" s="46">
        <v>24846</v>
      </c>
      <c r="L7" s="59">
        <f t="shared" si="2"/>
        <v>3.7752555743379324E-2</v>
      </c>
      <c r="M7" s="46">
        <v>25784</v>
      </c>
      <c r="N7" s="59">
        <f t="shared" si="3"/>
        <v>1.7064846416382284E-2</v>
      </c>
      <c r="O7" s="46">
        <v>26224</v>
      </c>
      <c r="P7" s="59">
        <f t="shared" si="4"/>
        <v>3.6760219646125636E-2</v>
      </c>
      <c r="Q7" s="46">
        <v>27188</v>
      </c>
      <c r="R7" s="59">
        <f t="shared" si="5"/>
        <v>-0.592173017507724</v>
      </c>
      <c r="S7" s="46">
        <v>11088</v>
      </c>
      <c r="T7" s="59">
        <f t="shared" si="6"/>
        <v>0.29103535353535359</v>
      </c>
      <c r="U7" s="46">
        <v>14315</v>
      </c>
      <c r="V7" s="59">
        <f t="shared" si="7"/>
        <v>0.84373035277680763</v>
      </c>
      <c r="W7" s="46">
        <v>26393</v>
      </c>
      <c r="X7" s="59">
        <f t="shared" si="8"/>
        <v>0.1373849126662372</v>
      </c>
      <c r="Y7" s="46">
        <v>30019</v>
      </c>
      <c r="AA7" s="73">
        <f>(Y7/G7)^(1/10)-1</f>
        <v>1.8749466303477069E-2</v>
      </c>
    </row>
    <row r="8" spans="6:29" ht="15" thickBot="1" x14ac:dyDescent="0.25">
      <c r="F8" s="51" t="s">
        <v>108</v>
      </c>
      <c r="G8" s="46">
        <v>4527</v>
      </c>
      <c r="H8" s="59">
        <f t="shared" si="0"/>
        <v>3.5122597746852113E-2</v>
      </c>
      <c r="I8" s="46">
        <v>4686</v>
      </c>
      <c r="J8" s="59">
        <f t="shared" si="1"/>
        <v>-3.6278275714894948E-3</v>
      </c>
      <c r="K8" s="46">
        <v>4669</v>
      </c>
      <c r="L8" s="59">
        <f t="shared" si="2"/>
        <v>8.0959520239880067E-2</v>
      </c>
      <c r="M8" s="46">
        <v>5047</v>
      </c>
      <c r="N8" s="59">
        <f t="shared" si="3"/>
        <v>0.16861501882306329</v>
      </c>
      <c r="O8" s="46">
        <v>5898</v>
      </c>
      <c r="P8" s="59">
        <f t="shared" si="4"/>
        <v>8.2570362834859301E-2</v>
      </c>
      <c r="Q8" s="46">
        <v>6385</v>
      </c>
      <c r="R8" s="59">
        <f t="shared" si="5"/>
        <v>-0.5287392325763508</v>
      </c>
      <c r="S8" s="46">
        <v>3009</v>
      </c>
      <c r="T8" s="59">
        <f t="shared" si="6"/>
        <v>-0.51545363908275177</v>
      </c>
      <c r="U8" s="46">
        <v>1458</v>
      </c>
      <c r="V8" s="59">
        <f t="shared" si="7"/>
        <v>2.9567901234567899</v>
      </c>
      <c r="W8" s="46">
        <v>5769</v>
      </c>
      <c r="X8" s="59">
        <f t="shared" si="8"/>
        <v>0.41636332119951458</v>
      </c>
      <c r="Y8" s="46">
        <v>8171</v>
      </c>
      <c r="AA8" s="74">
        <f>(Y8/G8)^(1/10)-1</f>
        <v>6.0831657656708282E-2</v>
      </c>
    </row>
    <row r="10" spans="6:29" ht="15" x14ac:dyDescent="0.25">
      <c r="F10" s="48" t="s">
        <v>27</v>
      </c>
      <c r="G10" s="54">
        <v>2014</v>
      </c>
      <c r="H10" s="54">
        <f>+G10+1</f>
        <v>2015</v>
      </c>
      <c r="I10" s="54">
        <f t="shared" ref="I10:Q10" si="9">+H10+1</f>
        <v>2016</v>
      </c>
      <c r="J10" s="54">
        <f t="shared" si="9"/>
        <v>2017</v>
      </c>
      <c r="K10" s="54">
        <f t="shared" si="9"/>
        <v>2018</v>
      </c>
      <c r="L10" s="54">
        <f t="shared" si="9"/>
        <v>2019</v>
      </c>
      <c r="M10" s="54">
        <f t="shared" si="9"/>
        <v>2020</v>
      </c>
      <c r="N10" s="54">
        <f t="shared" si="9"/>
        <v>2021</v>
      </c>
      <c r="O10" s="54">
        <f t="shared" si="9"/>
        <v>2022</v>
      </c>
      <c r="P10" s="54">
        <f t="shared" si="9"/>
        <v>2023</v>
      </c>
      <c r="Q10" s="49"/>
      <c r="R10" s="50" t="s">
        <v>109</v>
      </c>
      <c r="S10" s="49"/>
      <c r="T10" s="56"/>
    </row>
    <row r="11" spans="6:29" x14ac:dyDescent="0.2">
      <c r="F11" s="51" t="s">
        <v>105</v>
      </c>
      <c r="G11" s="46">
        <v>401</v>
      </c>
      <c r="H11" s="46">
        <v>677</v>
      </c>
      <c r="I11" s="46">
        <v>759</v>
      </c>
      <c r="J11" s="46">
        <v>1147</v>
      </c>
      <c r="K11" s="46">
        <v>189</v>
      </c>
      <c r="L11" s="46">
        <v>569</v>
      </c>
      <c r="M11" s="46">
        <v>-1354</v>
      </c>
      <c r="N11" s="46">
        <v>-182</v>
      </c>
      <c r="O11" s="46">
        <v>-362</v>
      </c>
      <c r="P11" s="46">
        <v>-310</v>
      </c>
      <c r="R11" s="46">
        <f>AVERAGE(G11:P11)</f>
        <v>153.4</v>
      </c>
      <c r="T11" s="56"/>
    </row>
    <row r="12" spans="6:29" x14ac:dyDescent="0.2">
      <c r="F12" s="51" t="s">
        <v>111</v>
      </c>
      <c r="G12" s="46">
        <v>1136</v>
      </c>
      <c r="H12" s="46">
        <v>2181</v>
      </c>
      <c r="I12" s="46">
        <v>2244</v>
      </c>
      <c r="J12" s="46">
        <v>3488</v>
      </c>
      <c r="K12" s="46">
        <v>2465</v>
      </c>
      <c r="L12" s="46">
        <v>2300</v>
      </c>
      <c r="M12" s="46">
        <v>-3074</v>
      </c>
      <c r="N12" s="46">
        <v>977</v>
      </c>
      <c r="O12" s="46">
        <v>539</v>
      </c>
      <c r="P12" s="46">
        <v>465</v>
      </c>
      <c r="R12" s="46">
        <f>AVERAGE(G12:P12)</f>
        <v>1272.0999999999999</v>
      </c>
      <c r="T12" s="56"/>
    </row>
    <row r="13" spans="6:29" x14ac:dyDescent="0.2">
      <c r="F13" s="51" t="s">
        <v>106</v>
      </c>
      <c r="G13" s="46">
        <v>866.7</v>
      </c>
      <c r="H13" s="46">
        <v>1559.1</v>
      </c>
      <c r="I13" s="46">
        <v>1315.9</v>
      </c>
      <c r="J13" s="46">
        <v>1450.2</v>
      </c>
      <c r="K13" s="46">
        <v>885</v>
      </c>
      <c r="L13" s="46">
        <v>648.70000000000005</v>
      </c>
      <c r="M13" s="46">
        <v>-1015.1</v>
      </c>
      <c r="N13" s="46">
        <v>-240.8</v>
      </c>
      <c r="O13" s="46">
        <v>1313.8</v>
      </c>
      <c r="P13" s="46">
        <v>1917.1</v>
      </c>
      <c r="R13" s="46">
        <f>AVERAGE(G13:P13)</f>
        <v>870.06000000000006</v>
      </c>
      <c r="T13" s="56"/>
    </row>
    <row r="14" spans="6:29" x14ac:dyDescent="0.2">
      <c r="F14" s="51" t="s">
        <v>107</v>
      </c>
      <c r="G14" s="46">
        <v>-173</v>
      </c>
      <c r="H14" s="46">
        <v>157</v>
      </c>
      <c r="I14" s="46">
        <v>529</v>
      </c>
      <c r="J14" s="46">
        <v>-288</v>
      </c>
      <c r="K14" s="46">
        <v>407</v>
      </c>
      <c r="L14" s="46">
        <v>270</v>
      </c>
      <c r="M14" s="46">
        <v>-7047</v>
      </c>
      <c r="N14" s="46">
        <v>-3267</v>
      </c>
      <c r="O14" s="46">
        <v>744</v>
      </c>
      <c r="P14" s="46">
        <v>990</v>
      </c>
      <c r="R14" s="46">
        <f>AVERAGE(G14:P14)</f>
        <v>-767.8</v>
      </c>
      <c r="T14" s="56"/>
    </row>
    <row r="15" spans="6:29" x14ac:dyDescent="0.2">
      <c r="F15" s="51" t="s">
        <v>108</v>
      </c>
      <c r="G15" s="46">
        <v>450</v>
      </c>
      <c r="H15" s="46">
        <v>548</v>
      </c>
      <c r="I15" s="46">
        <v>427</v>
      </c>
      <c r="J15" s="46">
        <v>325</v>
      </c>
      <c r="K15" s="46">
        <v>466</v>
      </c>
      <c r="L15" s="46">
        <v>349</v>
      </c>
      <c r="M15" s="46">
        <v>-725</v>
      </c>
      <c r="N15" s="46">
        <v>-900</v>
      </c>
      <c r="O15" s="46">
        <v>-147</v>
      </c>
      <c r="P15" s="46">
        <v>341</v>
      </c>
      <c r="R15" s="46">
        <f>AVERAGE(G15:P15)</f>
        <v>113.4</v>
      </c>
      <c r="T15" s="56"/>
    </row>
    <row r="16" spans="6:29" x14ac:dyDescent="0.2">
      <c r="T16" s="56"/>
    </row>
    <row r="17" spans="6:20" ht="15" x14ac:dyDescent="0.25">
      <c r="F17" s="48" t="s">
        <v>97</v>
      </c>
      <c r="G17" s="54">
        <v>2014</v>
      </c>
      <c r="H17" s="54">
        <f>+G17+1</f>
        <v>2015</v>
      </c>
      <c r="I17" s="54">
        <f t="shared" ref="I17:Q17" si="10">+H17+1</f>
        <v>2016</v>
      </c>
      <c r="J17" s="54">
        <f t="shared" si="10"/>
        <v>2017</v>
      </c>
      <c r="K17" s="54">
        <f t="shared" si="10"/>
        <v>2018</v>
      </c>
      <c r="L17" s="54">
        <f t="shared" si="10"/>
        <v>2019</v>
      </c>
      <c r="M17" s="54">
        <f t="shared" si="10"/>
        <v>2020</v>
      </c>
      <c r="N17" s="54">
        <f t="shared" si="10"/>
        <v>2021</v>
      </c>
      <c r="O17" s="54">
        <f t="shared" si="10"/>
        <v>2022</v>
      </c>
      <c r="P17" s="54">
        <f t="shared" si="10"/>
        <v>2023</v>
      </c>
      <c r="Q17" s="49"/>
      <c r="R17" s="50" t="s">
        <v>109</v>
      </c>
      <c r="S17" s="49"/>
      <c r="T17" s="56"/>
    </row>
    <row r="18" spans="6:20" x14ac:dyDescent="0.2">
      <c r="F18" s="52" t="s">
        <v>105</v>
      </c>
      <c r="G18" s="46">
        <v>912</v>
      </c>
      <c r="H18" s="46">
        <v>1598</v>
      </c>
      <c r="I18" s="46">
        <v>1632</v>
      </c>
      <c r="J18" s="46">
        <v>1398</v>
      </c>
      <c r="K18" s="46">
        <v>1200</v>
      </c>
      <c r="L18" s="46">
        <v>1449</v>
      </c>
      <c r="M18" s="46">
        <v>-683</v>
      </c>
      <c r="N18" s="46">
        <v>1642</v>
      </c>
      <c r="O18" s="46">
        <v>379</v>
      </c>
      <c r="P18" s="46">
        <v>400</v>
      </c>
      <c r="R18" s="46">
        <f>AVERAGE(G18:P18)</f>
        <v>992.7</v>
      </c>
      <c r="T18" s="56"/>
    </row>
    <row r="19" spans="6:20" x14ac:dyDescent="0.2">
      <c r="F19" s="51" t="s">
        <v>111</v>
      </c>
      <c r="G19" s="46">
        <v>2902</v>
      </c>
      <c r="H19" s="46">
        <v>3238</v>
      </c>
      <c r="I19" s="46">
        <v>4293</v>
      </c>
      <c r="J19" s="46">
        <v>3929</v>
      </c>
      <c r="K19" s="46">
        <v>4893</v>
      </c>
      <c r="L19" s="46">
        <v>3987</v>
      </c>
      <c r="M19" s="46">
        <v>-1127</v>
      </c>
      <c r="N19" s="46">
        <v>2322</v>
      </c>
      <c r="O19" s="46">
        <v>3790</v>
      </c>
      <c r="P19" s="46">
        <v>3164</v>
      </c>
      <c r="R19" s="46">
        <f>AVERAGE(G19:P19)</f>
        <v>3139.1</v>
      </c>
      <c r="T19" s="56"/>
    </row>
    <row r="20" spans="6:20" x14ac:dyDescent="0.2">
      <c r="F20" s="51" t="s">
        <v>106</v>
      </c>
      <c r="G20" s="46">
        <v>1689.4</v>
      </c>
      <c r="H20" s="46">
        <v>1846.3</v>
      </c>
      <c r="I20" s="46">
        <v>1927.2</v>
      </c>
      <c r="J20" s="46">
        <v>2233.1999999999998</v>
      </c>
      <c r="K20" s="46">
        <v>1759.3</v>
      </c>
      <c r="L20" s="46">
        <v>1327.1</v>
      </c>
      <c r="M20" s="46">
        <v>-2448</v>
      </c>
      <c r="N20" s="46">
        <v>1940.5</v>
      </c>
      <c r="O20" s="46">
        <v>3891</v>
      </c>
      <c r="P20" s="46">
        <v>3157.9</v>
      </c>
      <c r="R20" s="46">
        <f>AVERAGE(G20:P20)</f>
        <v>1732.39</v>
      </c>
      <c r="T20" s="56"/>
    </row>
    <row r="21" spans="6:20" x14ac:dyDescent="0.2">
      <c r="F21" s="51" t="s">
        <v>107</v>
      </c>
      <c r="G21" s="46">
        <v>1012</v>
      </c>
      <c r="H21" s="46">
        <v>1900</v>
      </c>
      <c r="I21" s="46">
        <v>2239</v>
      </c>
      <c r="J21" s="46">
        <v>2898</v>
      </c>
      <c r="K21" s="46">
        <v>3798</v>
      </c>
      <c r="L21" s="46">
        <v>3895</v>
      </c>
      <c r="M21" s="46">
        <v>-2826</v>
      </c>
      <c r="N21" s="46">
        <v>1534</v>
      </c>
      <c r="O21" s="46">
        <v>4682</v>
      </c>
      <c r="P21" s="46">
        <v>3125</v>
      </c>
      <c r="R21" s="46">
        <f>AVERAGE(G21:P21)</f>
        <v>2225.6999999999998</v>
      </c>
      <c r="T21" s="56"/>
    </row>
    <row r="22" spans="6:20" x14ac:dyDescent="0.2">
      <c r="F22" s="51" t="s">
        <v>108</v>
      </c>
      <c r="G22" s="46">
        <v>394</v>
      </c>
      <c r="H22" s="46">
        <v>609</v>
      </c>
      <c r="I22" s="46">
        <v>387</v>
      </c>
      <c r="J22" s="46">
        <v>663</v>
      </c>
      <c r="K22" s="46">
        <v>961</v>
      </c>
      <c r="L22" s="46">
        <v>761</v>
      </c>
      <c r="M22" s="46">
        <v>762</v>
      </c>
      <c r="N22" s="46">
        <v>1035</v>
      </c>
      <c r="O22" s="46">
        <v>776</v>
      </c>
      <c r="P22" s="46">
        <v>1551</v>
      </c>
      <c r="R22" s="46">
        <f>AVERAGE(G22:P22)</f>
        <v>789.9</v>
      </c>
      <c r="T22" s="56"/>
    </row>
    <row r="23" spans="6:20" x14ac:dyDescent="0.2">
      <c r="T23" s="56"/>
    </row>
    <row r="24" spans="6:20" ht="15" x14ac:dyDescent="0.25">
      <c r="F24" s="48" t="s">
        <v>98</v>
      </c>
      <c r="G24" s="54">
        <v>2014</v>
      </c>
      <c r="H24" s="54">
        <f>+G24+1</f>
        <v>2015</v>
      </c>
      <c r="I24" s="54">
        <f t="shared" ref="I24:P24" si="11">+H24+1</f>
        <v>2016</v>
      </c>
      <c r="J24" s="54">
        <f t="shared" si="11"/>
        <v>2017</v>
      </c>
      <c r="K24" s="54">
        <f t="shared" si="11"/>
        <v>2018</v>
      </c>
      <c r="L24" s="54">
        <f t="shared" si="11"/>
        <v>2019</v>
      </c>
      <c r="M24" s="54">
        <f t="shared" si="11"/>
        <v>2020</v>
      </c>
      <c r="N24" s="54">
        <f t="shared" si="11"/>
        <v>2021</v>
      </c>
      <c r="O24" s="54">
        <f t="shared" si="11"/>
        <v>2022</v>
      </c>
      <c r="P24" s="54">
        <f t="shared" si="11"/>
        <v>2023</v>
      </c>
      <c r="Q24" s="49"/>
      <c r="R24" s="50" t="s">
        <v>109</v>
      </c>
      <c r="S24" s="49"/>
      <c r="T24" s="56"/>
    </row>
    <row r="25" spans="6:20" x14ac:dyDescent="0.2">
      <c r="F25" s="51" t="s">
        <v>105</v>
      </c>
      <c r="G25" s="46">
        <v>730</v>
      </c>
      <c r="H25" s="46">
        <v>837</v>
      </c>
      <c r="I25" s="46">
        <v>850</v>
      </c>
      <c r="J25" s="46">
        <v>1074</v>
      </c>
      <c r="K25" s="46">
        <v>908</v>
      </c>
      <c r="L25" s="46">
        <v>932</v>
      </c>
      <c r="M25" s="46">
        <v>715</v>
      </c>
      <c r="N25" s="46">
        <v>907</v>
      </c>
      <c r="O25" s="46">
        <v>767</v>
      </c>
      <c r="P25" s="46">
        <v>1128</v>
      </c>
      <c r="R25" s="46">
        <f>AVERAGE(G25:P25)</f>
        <v>884.8</v>
      </c>
      <c r="T25" s="56"/>
    </row>
    <row r="26" spans="6:20" x14ac:dyDescent="0.2">
      <c r="F26" s="51" t="s">
        <v>111</v>
      </c>
      <c r="G26" s="46">
        <v>1748</v>
      </c>
      <c r="H26" s="46">
        <v>2041</v>
      </c>
      <c r="I26" s="46">
        <v>2038</v>
      </c>
      <c r="J26" s="46">
        <v>2123</v>
      </c>
      <c r="K26" s="46">
        <v>1922</v>
      </c>
      <c r="L26" s="46">
        <v>1027</v>
      </c>
      <c r="M26" s="46">
        <v>515</v>
      </c>
      <c r="N26" s="46">
        <v>505</v>
      </c>
      <c r="O26" s="46">
        <v>3924</v>
      </c>
      <c r="P26" s="46">
        <v>3520</v>
      </c>
      <c r="R26" s="46">
        <f>AVERAGE(G26:P26)</f>
        <v>1936.3</v>
      </c>
      <c r="T26" s="56"/>
    </row>
    <row r="27" spans="6:20" x14ac:dyDescent="0.2">
      <c r="F27" s="51" t="s">
        <v>106</v>
      </c>
      <c r="G27" s="46">
        <v>788.5</v>
      </c>
      <c r="H27" s="46">
        <v>1217.7</v>
      </c>
      <c r="I27" s="46">
        <v>1449.8</v>
      </c>
      <c r="J27" s="46">
        <v>1470.6</v>
      </c>
      <c r="K27" s="46">
        <v>1288.5</v>
      </c>
      <c r="L27" s="46">
        <v>578.79999999999995</v>
      </c>
      <c r="M27" s="46">
        <v>294.7</v>
      </c>
      <c r="N27" s="46">
        <v>1181.5999999999999</v>
      </c>
      <c r="O27" s="46">
        <v>1914.7</v>
      </c>
      <c r="P27" s="46">
        <v>2391.9</v>
      </c>
      <c r="R27" s="46">
        <f>AVERAGE(G27:P27)</f>
        <v>1257.68</v>
      </c>
      <c r="T27" s="56"/>
    </row>
    <row r="28" spans="6:20" x14ac:dyDescent="0.2">
      <c r="F28" s="51" t="s">
        <v>107</v>
      </c>
      <c r="G28" s="46">
        <v>1431</v>
      </c>
      <c r="H28" s="46">
        <v>1647</v>
      </c>
      <c r="I28" s="46">
        <v>2072</v>
      </c>
      <c r="J28" s="46">
        <v>2312</v>
      </c>
      <c r="K28" s="46">
        <v>2844</v>
      </c>
      <c r="L28" s="46">
        <v>3372</v>
      </c>
      <c r="M28" s="46">
        <v>2099</v>
      </c>
      <c r="N28" s="46">
        <v>2202</v>
      </c>
      <c r="O28" s="46">
        <v>2798</v>
      </c>
      <c r="P28" s="46">
        <v>3551</v>
      </c>
      <c r="R28" s="46">
        <f>AVERAGE(G28:P28)</f>
        <v>2432.8000000000002</v>
      </c>
      <c r="T28" s="56"/>
    </row>
    <row r="29" spans="6:20" x14ac:dyDescent="0.2">
      <c r="F29" s="51" t="s">
        <v>108</v>
      </c>
      <c r="G29" s="46">
        <v>426</v>
      </c>
      <c r="H29" s="46">
        <v>509</v>
      </c>
      <c r="I29" s="46">
        <v>549</v>
      </c>
      <c r="J29" s="46">
        <v>586</v>
      </c>
      <c r="K29" s="46">
        <v>931</v>
      </c>
      <c r="L29" s="46">
        <v>954</v>
      </c>
      <c r="M29" s="46">
        <v>659</v>
      </c>
      <c r="N29" s="46">
        <v>140</v>
      </c>
      <c r="O29" s="46">
        <v>501</v>
      </c>
      <c r="P29" s="46">
        <v>677</v>
      </c>
      <c r="R29" s="46">
        <f>AVERAGE(G29:P29)</f>
        <v>593.20000000000005</v>
      </c>
      <c r="T29" s="56"/>
    </row>
    <row r="30" spans="6:20" x14ac:dyDescent="0.2">
      <c r="T30" s="56"/>
    </row>
    <row r="31" spans="6:20" ht="15" x14ac:dyDescent="0.25">
      <c r="F31" s="48" t="s">
        <v>99</v>
      </c>
      <c r="G31" s="54">
        <v>2014</v>
      </c>
      <c r="H31" s="54">
        <f>+G31+1</f>
        <v>2015</v>
      </c>
      <c r="I31" s="54">
        <f t="shared" ref="I31:P31" si="12">+H31+1</f>
        <v>2016</v>
      </c>
      <c r="J31" s="54">
        <f t="shared" si="12"/>
        <v>2017</v>
      </c>
      <c r="K31" s="54">
        <f t="shared" si="12"/>
        <v>2018</v>
      </c>
      <c r="L31" s="54">
        <f t="shared" si="12"/>
        <v>2019</v>
      </c>
      <c r="M31" s="54">
        <f t="shared" si="12"/>
        <v>2020</v>
      </c>
      <c r="N31" s="54">
        <f t="shared" si="12"/>
        <v>2021</v>
      </c>
      <c r="O31" s="54">
        <f t="shared" si="12"/>
        <v>2022</v>
      </c>
      <c r="P31" s="54">
        <f t="shared" si="12"/>
        <v>2023</v>
      </c>
      <c r="Q31" s="49"/>
      <c r="R31" s="50" t="s">
        <v>109</v>
      </c>
      <c r="S31" s="49"/>
      <c r="T31" s="56"/>
    </row>
    <row r="32" spans="6:20" x14ac:dyDescent="0.2">
      <c r="F32" s="51" t="s">
        <v>105</v>
      </c>
      <c r="G32" s="46">
        <f t="shared" ref="G32:O32" si="13">+G18-G25</f>
        <v>182</v>
      </c>
      <c r="H32" s="46">
        <f t="shared" si="13"/>
        <v>761</v>
      </c>
      <c r="I32" s="46">
        <f t="shared" si="13"/>
        <v>782</v>
      </c>
      <c r="J32" s="46">
        <f t="shared" si="13"/>
        <v>324</v>
      </c>
      <c r="K32" s="46">
        <f t="shared" si="13"/>
        <v>292</v>
      </c>
      <c r="L32" s="46">
        <f t="shared" si="13"/>
        <v>517</v>
      </c>
      <c r="M32" s="46">
        <f t="shared" si="13"/>
        <v>-1398</v>
      </c>
      <c r="N32" s="46">
        <f t="shared" si="13"/>
        <v>735</v>
      </c>
      <c r="O32" s="46">
        <f t="shared" si="13"/>
        <v>-388</v>
      </c>
      <c r="P32" s="46">
        <f>+P18-P25</f>
        <v>-728</v>
      </c>
      <c r="R32" s="46">
        <f>AVERAGE(G32:P32)</f>
        <v>107.9</v>
      </c>
      <c r="T32" s="56"/>
    </row>
    <row r="33" spans="2:31" x14ac:dyDescent="0.2">
      <c r="F33" s="51" t="s">
        <v>111</v>
      </c>
      <c r="G33" s="46">
        <f t="shared" ref="G33:O34" si="14">+G19-G26</f>
        <v>1154</v>
      </c>
      <c r="H33" s="46">
        <f t="shared" si="14"/>
        <v>1197</v>
      </c>
      <c r="I33" s="46">
        <f t="shared" si="14"/>
        <v>2255</v>
      </c>
      <c r="J33" s="46">
        <f t="shared" si="14"/>
        <v>1806</v>
      </c>
      <c r="K33" s="46">
        <f t="shared" si="14"/>
        <v>2971</v>
      </c>
      <c r="L33" s="46">
        <f t="shared" si="14"/>
        <v>2960</v>
      </c>
      <c r="M33" s="46">
        <f t="shared" si="14"/>
        <v>-1642</v>
      </c>
      <c r="N33" s="46">
        <f t="shared" si="14"/>
        <v>1817</v>
      </c>
      <c r="O33" s="46">
        <f t="shared" si="14"/>
        <v>-134</v>
      </c>
      <c r="P33" s="46">
        <f>+P19-P26</f>
        <v>-356</v>
      </c>
      <c r="R33" s="46">
        <f>AVERAGE(G33:P33)</f>
        <v>1202.8</v>
      </c>
    </row>
    <row r="34" spans="2:31" x14ac:dyDescent="0.2">
      <c r="F34" s="51" t="s">
        <v>106</v>
      </c>
      <c r="G34" s="46">
        <f t="shared" si="14"/>
        <v>900.90000000000009</v>
      </c>
      <c r="H34" s="46">
        <f t="shared" si="14"/>
        <v>628.59999999999991</v>
      </c>
      <c r="I34" s="46">
        <f t="shared" si="14"/>
        <v>477.40000000000009</v>
      </c>
      <c r="J34" s="46">
        <f t="shared" si="14"/>
        <v>762.59999999999991</v>
      </c>
      <c r="K34" s="46">
        <f t="shared" si="14"/>
        <v>470.79999999999995</v>
      </c>
      <c r="L34" s="46">
        <f t="shared" si="14"/>
        <v>748.3</v>
      </c>
      <c r="M34" s="46">
        <f t="shared" si="14"/>
        <v>-2742.7</v>
      </c>
      <c r="N34" s="46">
        <f t="shared" ref="N34:O34" si="15">+N20-N27</f>
        <v>758.90000000000009</v>
      </c>
      <c r="O34" s="46">
        <f t="shared" si="15"/>
        <v>1976.3</v>
      </c>
      <c r="P34" s="46">
        <f>+P20-P27</f>
        <v>766</v>
      </c>
      <c r="R34" s="46">
        <f>AVERAGE(G34:P34)</f>
        <v>474.71000000000004</v>
      </c>
    </row>
    <row r="35" spans="2:31" x14ac:dyDescent="0.2">
      <c r="F35" s="51" t="s">
        <v>107</v>
      </c>
      <c r="G35" s="46">
        <f t="shared" ref="G35:O35" si="16">+G21-G28</f>
        <v>-419</v>
      </c>
      <c r="H35" s="46">
        <f t="shared" si="16"/>
        <v>253</v>
      </c>
      <c r="I35" s="46">
        <f t="shared" si="16"/>
        <v>167</v>
      </c>
      <c r="J35" s="46">
        <f t="shared" si="16"/>
        <v>586</v>
      </c>
      <c r="K35" s="46">
        <f t="shared" si="16"/>
        <v>954</v>
      </c>
      <c r="L35" s="46">
        <f t="shared" si="16"/>
        <v>523</v>
      </c>
      <c r="M35" s="46">
        <f t="shared" si="16"/>
        <v>-4925</v>
      </c>
      <c r="N35" s="46">
        <f t="shared" si="16"/>
        <v>-668</v>
      </c>
      <c r="O35" s="46">
        <f t="shared" si="16"/>
        <v>1884</v>
      </c>
      <c r="P35" s="46">
        <f>+P21-P28</f>
        <v>-426</v>
      </c>
      <c r="R35" s="55">
        <f>AVERAGE(G35:P35)</f>
        <v>-207.1</v>
      </c>
    </row>
    <row r="36" spans="2:31" x14ac:dyDescent="0.2">
      <c r="F36" s="51" t="s">
        <v>108</v>
      </c>
      <c r="G36" s="46">
        <f t="shared" ref="G36:O36" si="17">+G22-G29</f>
        <v>-32</v>
      </c>
      <c r="H36" s="46">
        <f t="shared" si="17"/>
        <v>100</v>
      </c>
      <c r="I36" s="46">
        <f t="shared" si="17"/>
        <v>-162</v>
      </c>
      <c r="J36" s="46">
        <f t="shared" si="17"/>
        <v>77</v>
      </c>
      <c r="K36" s="46">
        <f t="shared" si="17"/>
        <v>30</v>
      </c>
      <c r="L36" s="46">
        <f t="shared" si="17"/>
        <v>-193</v>
      </c>
      <c r="M36" s="46">
        <f t="shared" si="17"/>
        <v>103</v>
      </c>
      <c r="N36" s="46">
        <f t="shared" si="17"/>
        <v>895</v>
      </c>
      <c r="O36" s="46">
        <f t="shared" si="17"/>
        <v>275</v>
      </c>
      <c r="P36" s="46">
        <f>+P22-P29</f>
        <v>874</v>
      </c>
      <c r="R36" s="55">
        <f>AVERAGE(G36:P36)</f>
        <v>196.7</v>
      </c>
      <c r="V36" s="62"/>
      <c r="W36" s="62"/>
      <c r="X36" s="62"/>
      <c r="Y36" s="62"/>
      <c r="Z36" s="62"/>
      <c r="AA36" s="62"/>
      <c r="AB36" s="62"/>
      <c r="AC36" s="62"/>
      <c r="AD36" s="62"/>
      <c r="AE36" s="62"/>
    </row>
    <row r="38" spans="2:31" ht="15" x14ac:dyDescent="0.25">
      <c r="F38" s="60" t="s">
        <v>103</v>
      </c>
      <c r="G38" s="60"/>
      <c r="H38" s="60"/>
      <c r="I38" s="60" t="s">
        <v>111</v>
      </c>
      <c r="J38" s="60"/>
      <c r="K38" s="61"/>
      <c r="L38" s="60" t="s">
        <v>106</v>
      </c>
      <c r="M38" s="60"/>
      <c r="N38" s="61"/>
      <c r="O38" s="60" t="s">
        <v>107</v>
      </c>
      <c r="P38" s="60"/>
      <c r="Q38" s="61"/>
      <c r="R38" s="60" t="s">
        <v>108</v>
      </c>
      <c r="S38" s="61"/>
    </row>
    <row r="39" spans="2:31" s="53" customFormat="1" x14ac:dyDescent="0.2">
      <c r="F39" s="53" t="s">
        <v>1</v>
      </c>
      <c r="G39" s="53">
        <v>5.3</v>
      </c>
      <c r="I39" s="53" t="s">
        <v>1</v>
      </c>
      <c r="J39" s="53">
        <v>29.7</v>
      </c>
      <c r="L39" s="53" t="s">
        <v>1</v>
      </c>
      <c r="M39" s="53">
        <v>15.58</v>
      </c>
      <c r="O39" s="53" t="s">
        <v>1</v>
      </c>
      <c r="P39" s="53">
        <v>8.0500000000000007</v>
      </c>
      <c r="R39" s="53" t="s">
        <v>1</v>
      </c>
      <c r="S39" s="53">
        <v>4.7839999999999998</v>
      </c>
    </row>
    <row r="40" spans="2:31" x14ac:dyDescent="0.2">
      <c r="F40" s="46" t="s">
        <v>104</v>
      </c>
      <c r="G40" s="46">
        <v>347</v>
      </c>
      <c r="I40" s="46" t="s">
        <v>104</v>
      </c>
      <c r="J40" s="46">
        <v>643</v>
      </c>
      <c r="L40" s="46" t="s">
        <v>104</v>
      </c>
      <c r="M40" s="46">
        <v>1144.5999999999999</v>
      </c>
      <c r="O40" s="46" t="s">
        <v>104</v>
      </c>
      <c r="P40" s="46">
        <v>262.63280099999997</v>
      </c>
      <c r="R40" s="46" t="s">
        <v>104</v>
      </c>
      <c r="S40" s="46">
        <v>750</v>
      </c>
      <c r="W40" s="53"/>
      <c r="Y40" s="53"/>
    </row>
    <row r="41" spans="2:31" x14ac:dyDescent="0.2">
      <c r="F41" s="46" t="s">
        <v>3</v>
      </c>
      <c r="G41" s="46">
        <f>+G39*G40</f>
        <v>1839.1</v>
      </c>
      <c r="I41" s="46" t="s">
        <v>3</v>
      </c>
      <c r="J41" s="46">
        <f>+J39*J40</f>
        <v>19097.099999999999</v>
      </c>
      <c r="L41" s="46" t="s">
        <v>3</v>
      </c>
      <c r="M41" s="46">
        <f>+M39*M40</f>
        <v>17832.867999999999</v>
      </c>
      <c r="O41" s="46" t="s">
        <v>3</v>
      </c>
      <c r="P41" s="46">
        <f>+P39*P40</f>
        <v>2114.1940480499998</v>
      </c>
      <c r="R41" s="46" t="s">
        <v>3</v>
      </c>
      <c r="S41" s="46">
        <f>+S39*S40</f>
        <v>3588</v>
      </c>
    </row>
    <row r="42" spans="2:31" x14ac:dyDescent="0.2">
      <c r="F42" s="46" t="s">
        <v>4</v>
      </c>
      <c r="G42" s="46">
        <v>1312</v>
      </c>
      <c r="I42" s="46" t="s">
        <v>4</v>
      </c>
      <c r="J42" s="46">
        <f>8142+1860</f>
        <v>10002</v>
      </c>
      <c r="L42" s="46" t="s">
        <v>4</v>
      </c>
      <c r="M42" s="46">
        <f>3955.1+526.1+6.4</f>
        <v>4487.5999999999995</v>
      </c>
      <c r="O42" s="46" t="s">
        <v>4</v>
      </c>
      <c r="P42" s="46">
        <v>5288</v>
      </c>
      <c r="R42" s="46" t="s">
        <v>4</v>
      </c>
      <c r="S42" s="46">
        <v>2286</v>
      </c>
    </row>
    <row r="43" spans="2:31" x14ac:dyDescent="0.2">
      <c r="F43" s="46" t="s">
        <v>5</v>
      </c>
      <c r="G43" s="46">
        <f>5016+532</f>
        <v>5548</v>
      </c>
      <c r="I43" s="46" t="s">
        <v>5</v>
      </c>
      <c r="J43" s="46">
        <v>5065</v>
      </c>
      <c r="L43" s="46" t="s">
        <v>5</v>
      </c>
      <c r="M43" s="46">
        <v>2533.6</v>
      </c>
      <c r="O43" s="46" t="s">
        <v>5</v>
      </c>
      <c r="P43" s="46">
        <f>4042+879</f>
        <v>4921</v>
      </c>
      <c r="R43" s="46" t="s">
        <v>5</v>
      </c>
      <c r="S43" s="46">
        <f>2162+224+800</f>
        <v>3186</v>
      </c>
    </row>
    <row r="44" spans="2:31" x14ac:dyDescent="0.2">
      <c r="F44" s="46" t="s">
        <v>6</v>
      </c>
      <c r="G44" s="46">
        <f>+G41-G42+G43</f>
        <v>6075.1</v>
      </c>
      <c r="I44" s="46" t="s">
        <v>6</v>
      </c>
      <c r="J44" s="46">
        <f>+J41-J42+J43</f>
        <v>14160.099999999999</v>
      </c>
      <c r="L44" s="46" t="s">
        <v>6</v>
      </c>
      <c r="M44" s="46">
        <f>+M41-M42+M43</f>
        <v>15878.868</v>
      </c>
      <c r="O44" s="46" t="s">
        <v>6</v>
      </c>
      <c r="P44" s="46">
        <f>+P41-P42+P43</f>
        <v>1747.1940480499998</v>
      </c>
      <c r="R44" s="46" t="s">
        <v>6</v>
      </c>
      <c r="S44" s="46">
        <f>+S41-S42+S43</f>
        <v>4488</v>
      </c>
    </row>
    <row r="45" spans="2:31" x14ac:dyDescent="0.2">
      <c r="B45" s="56" t="s">
        <v>114</v>
      </c>
      <c r="C45" s="56"/>
      <c r="D45" s="56"/>
      <c r="E45" s="56"/>
      <c r="F45" s="56"/>
      <c r="G45" s="56">
        <f>+R11</f>
        <v>153.4</v>
      </c>
      <c r="H45" s="56"/>
      <c r="I45" s="56"/>
      <c r="J45" s="56">
        <f>+R12</f>
        <v>1272.0999999999999</v>
      </c>
      <c r="K45" s="56"/>
      <c r="L45" s="56"/>
      <c r="M45" s="56">
        <f>+R13</f>
        <v>870.06000000000006</v>
      </c>
      <c r="N45" s="56"/>
      <c r="O45" s="56"/>
      <c r="P45" s="75">
        <f>+R14</f>
        <v>-767.8</v>
      </c>
      <c r="Q45" s="56"/>
      <c r="R45" s="56"/>
      <c r="S45" s="56">
        <f>+R15</f>
        <v>113.4</v>
      </c>
    </row>
    <row r="46" spans="2:31" x14ac:dyDescent="0.2">
      <c r="B46" s="76" t="s">
        <v>110</v>
      </c>
      <c r="C46" s="77"/>
      <c r="D46" s="77"/>
      <c r="E46" s="77"/>
      <c r="F46" s="77"/>
      <c r="G46" s="77">
        <f>+G44/G45</f>
        <v>39.602998696219039</v>
      </c>
      <c r="H46" s="77"/>
      <c r="I46" s="77"/>
      <c r="J46" s="77">
        <f>+J44/J45</f>
        <v>11.131278987500982</v>
      </c>
      <c r="K46" s="77"/>
      <c r="L46" s="77"/>
      <c r="M46" s="77">
        <f>+M44/M45</f>
        <v>18.250313771464036</v>
      </c>
      <c r="N46" s="77"/>
      <c r="O46" s="77"/>
      <c r="P46" s="78">
        <f>+P44/P45</f>
        <v>-2.2755848502865326</v>
      </c>
      <c r="Q46" s="77"/>
      <c r="R46" s="77"/>
      <c r="S46" s="77">
        <f>+S44/S45</f>
        <v>39.576719576719576</v>
      </c>
    </row>
    <row r="47" spans="2:31" s="47" customFormat="1" ht="15" thickBot="1" x14ac:dyDescent="0.25"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</row>
    <row r="48" spans="2:31" x14ac:dyDescent="0.2">
      <c r="B48" s="63" t="s">
        <v>115</v>
      </c>
      <c r="C48" s="64"/>
      <c r="D48" s="80" t="s">
        <v>117</v>
      </c>
      <c r="E48" s="64"/>
      <c r="F48" s="64"/>
      <c r="G48" s="64">
        <f>+R11*1.05^10</f>
        <v>249.87243574765955</v>
      </c>
      <c r="H48" s="64"/>
      <c r="I48" s="64"/>
      <c r="J48" s="64">
        <f>+R12*1.03^10</f>
        <v>1709.5960261636571</v>
      </c>
      <c r="K48" s="64"/>
      <c r="L48" s="64"/>
      <c r="M48" s="64">
        <f>+R13*1.09^10</f>
        <v>2059.7484387156192</v>
      </c>
      <c r="N48" s="64"/>
      <c r="O48" s="64"/>
      <c r="P48" s="65">
        <f>+R14*1.02^10</f>
        <v>-935.94391567197442</v>
      </c>
      <c r="Q48" s="64"/>
      <c r="R48" s="64"/>
      <c r="S48" s="66">
        <f>+R15*1.06^10</f>
        <v>203.08212878795973</v>
      </c>
    </row>
    <row r="49" spans="2:19" ht="15" thickBot="1" x14ac:dyDescent="0.25">
      <c r="B49" s="67" t="s">
        <v>110</v>
      </c>
      <c r="C49" s="68"/>
      <c r="D49" s="69"/>
      <c r="E49" s="69"/>
      <c r="F49" s="69"/>
      <c r="G49" s="68">
        <f>+G44/G48</f>
        <v>24.312805779566276</v>
      </c>
      <c r="H49" s="68"/>
      <c r="I49" s="68"/>
      <c r="J49" s="68">
        <f>+J44/J48</f>
        <v>8.282716959617261</v>
      </c>
      <c r="K49" s="68"/>
      <c r="L49" s="68"/>
      <c r="M49" s="68">
        <f>+M44/M48</f>
        <v>7.7091297663036267</v>
      </c>
      <c r="N49" s="68"/>
      <c r="O49" s="68"/>
      <c r="P49" s="70">
        <f>+P44/P48</f>
        <v>-1.8667721631542169</v>
      </c>
      <c r="Q49" s="68"/>
      <c r="R49" s="68"/>
      <c r="S49" s="71">
        <f>+S44/S48</f>
        <v>22.099433499074504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Main</vt:lpstr>
      <vt:lpstr>Model</vt:lpstr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2024-03-08T08:35:01Z</dcterms:created>
  <dcterms:modified xsi:type="dcterms:W3CDTF">2024-09-08T16:46:11Z</dcterms:modified>
</cp:coreProperties>
</file>