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7B9E7CCD-CBA1-4904-B8AE-20D3C333EAAA}" xr6:coauthVersionLast="47" xr6:coauthVersionMax="47" xr10:uidLastSave="{00000000-0000-0000-0000-000000000000}"/>
  <bookViews>
    <workbookView xWindow="135" yWindow="60" windowWidth="14220" windowHeight="15495" activeTab="1" xr2:uid="{EC43F836-11E0-43A0-B163-D261EE9A52F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5" i="1"/>
  <c r="G24" i="1"/>
  <c r="G23" i="1"/>
  <c r="G22" i="1"/>
  <c r="G21" i="1"/>
  <c r="F25" i="1"/>
  <c r="E25" i="1"/>
  <c r="F66" i="2" l="1"/>
  <c r="G65" i="2"/>
  <c r="G64" i="2"/>
  <c r="I65" i="2"/>
  <c r="I64" i="2"/>
  <c r="H66" i="2"/>
  <c r="G66" i="2"/>
  <c r="I66" i="2"/>
  <c r="I61" i="2"/>
  <c r="I62" i="2" s="1"/>
  <c r="I59" i="2"/>
  <c r="I57" i="2"/>
  <c r="I49" i="2"/>
  <c r="I46" i="2"/>
  <c r="I38" i="2"/>
  <c r="I32" i="2"/>
  <c r="H61" i="2"/>
  <c r="H62" i="2" s="1"/>
  <c r="H57" i="2"/>
  <c r="H59" i="2" s="1"/>
  <c r="G49" i="2"/>
  <c r="G57" i="2" s="1"/>
  <c r="G59" i="2" s="1"/>
  <c r="H49" i="2"/>
  <c r="H32" i="2"/>
  <c r="H46" i="2"/>
  <c r="H38" i="2"/>
  <c r="G32" i="2"/>
  <c r="G19" i="2"/>
  <c r="G17" i="2"/>
  <c r="G14" i="2"/>
  <c r="G13" i="2"/>
  <c r="G11" i="2"/>
  <c r="G9" i="2"/>
  <c r="G8" i="2"/>
  <c r="G7" i="2"/>
  <c r="G6" i="2"/>
  <c r="G10" i="2" s="1"/>
  <c r="G4" i="2"/>
  <c r="G5" i="2" s="1"/>
  <c r="G3" i="2"/>
  <c r="G30" i="2" s="1"/>
  <c r="I22" i="2"/>
  <c r="I19" i="2"/>
  <c r="U16" i="2"/>
  <c r="I16" i="2" s="1"/>
  <c r="T16" i="2"/>
  <c r="G16" i="2" s="1"/>
  <c r="I17" i="2"/>
  <c r="I14" i="2"/>
  <c r="I13" i="2"/>
  <c r="U10" i="2"/>
  <c r="T10" i="2"/>
  <c r="I11" i="2"/>
  <c r="I9" i="2"/>
  <c r="I8" i="2"/>
  <c r="I7" i="2"/>
  <c r="I6" i="2"/>
  <c r="I4" i="2"/>
  <c r="I3" i="2"/>
  <c r="I5" i="2" s="1"/>
  <c r="I24" i="2" s="1"/>
  <c r="F30" i="2"/>
  <c r="F10" i="2"/>
  <c r="F5" i="2"/>
  <c r="F24" i="2" s="1"/>
  <c r="H30" i="2"/>
  <c r="H10" i="2"/>
  <c r="H5" i="2"/>
  <c r="G38" i="2"/>
  <c r="G46" i="2" s="1"/>
  <c r="T30" i="2"/>
  <c r="T5" i="2"/>
  <c r="T24" i="2" s="1"/>
  <c r="U30" i="2"/>
  <c r="L10" i="1"/>
  <c r="U5" i="2"/>
  <c r="U24" i="2" s="1"/>
  <c r="L8" i="1"/>
  <c r="L7" i="1"/>
  <c r="L6" i="1"/>
  <c r="L5" i="1"/>
  <c r="L2" i="2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H12" i="2" l="1"/>
  <c r="T12" i="2"/>
  <c r="T15" i="2" s="1"/>
  <c r="T18" i="2" s="1"/>
  <c r="U12" i="2"/>
  <c r="U15" i="2" s="1"/>
  <c r="U18" i="2" s="1"/>
  <c r="G12" i="2"/>
  <c r="G24" i="2"/>
  <c r="I10" i="2"/>
  <c r="I12" i="2" s="1"/>
  <c r="I30" i="2"/>
  <c r="F12" i="2"/>
  <c r="F25" i="2" s="1"/>
  <c r="H24" i="2"/>
  <c r="U20" i="2"/>
  <c r="U27" i="2" s="1"/>
  <c r="T20" i="2"/>
  <c r="H15" i="2" l="1"/>
  <c r="H25" i="2"/>
  <c r="I25" i="2"/>
  <c r="I15" i="2"/>
  <c r="G15" i="2"/>
  <c r="G25" i="2"/>
  <c r="F15" i="2"/>
  <c r="F26" i="2" s="1"/>
  <c r="U26" i="2"/>
  <c r="U21" i="2"/>
  <c r="T26" i="2"/>
  <c r="T27" i="2"/>
  <c r="T21" i="2"/>
  <c r="H26" i="2" l="1"/>
  <c r="H18" i="2"/>
  <c r="G26" i="2"/>
  <c r="G18" i="2"/>
  <c r="I18" i="2"/>
  <c r="I26" i="2"/>
  <c r="F18" i="2"/>
  <c r="F28" i="2" s="1"/>
  <c r="H28" i="2" l="1"/>
  <c r="H20" i="2"/>
  <c r="G20" i="2"/>
  <c r="G28" i="2"/>
  <c r="I20" i="2"/>
  <c r="I28" i="2"/>
  <c r="F20" i="2"/>
  <c r="H21" i="2" l="1"/>
  <c r="H27" i="2"/>
  <c r="G27" i="2"/>
  <c r="G21" i="2"/>
  <c r="F27" i="2"/>
  <c r="G61" i="2"/>
  <c r="G62" i="2" s="1"/>
  <c r="I27" i="2"/>
  <c r="I21" i="2"/>
  <c r="F21" i="2"/>
</calcChain>
</file>

<file path=xl/sharedStrings.xml><?xml version="1.0" encoding="utf-8"?>
<sst xmlns="http://schemas.openxmlformats.org/spreadsheetml/2006/main" count="98" uniqueCount="92">
  <si>
    <t>Revenue</t>
  </si>
  <si>
    <t>COGS</t>
  </si>
  <si>
    <t>Gross profit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</si>
  <si>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</si>
  <si>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</si>
  <si>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</si>
  <si>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</si>
  <si>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</si>
  <si>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</si>
  <si>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</si>
  <si>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</si>
  <si>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</si>
  <si>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</si>
  <si>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</si>
  <si>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</si>
  <si>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</si>
  <si>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Price</t>
  </si>
  <si>
    <t>MC</t>
  </si>
  <si>
    <t>Cash</t>
  </si>
  <si>
    <t>Debt</t>
  </si>
  <si>
    <t>EV</t>
  </si>
  <si>
    <t>Personnel expense</t>
  </si>
  <si>
    <t>External services</t>
  </si>
  <si>
    <t>Other</t>
  </si>
  <si>
    <t>Capitalised personnel expenses</t>
  </si>
  <si>
    <t>Impairment losses</t>
  </si>
  <si>
    <t>D&amp;A and provisions</t>
  </si>
  <si>
    <t>Levies</t>
  </si>
  <si>
    <t>Goodwill</t>
  </si>
  <si>
    <t>Real Estate</t>
  </si>
  <si>
    <t>PP&amp;E</t>
  </si>
  <si>
    <t>Right of use</t>
  </si>
  <si>
    <t>Investments</t>
  </si>
  <si>
    <t>A/R</t>
  </si>
  <si>
    <t>Tax receivables</t>
  </si>
  <si>
    <t>D/T</t>
  </si>
  <si>
    <t>Held for disposal</t>
  </si>
  <si>
    <t>Nuclear fuel</t>
  </si>
  <si>
    <t>Inventories</t>
  </si>
  <si>
    <t>OCA</t>
  </si>
  <si>
    <t>Assets</t>
  </si>
  <si>
    <t>Deferred income</t>
  </si>
  <si>
    <t>Facilties transferred</t>
  </si>
  <si>
    <t>Provisions</t>
  </si>
  <si>
    <t>ONCL</t>
  </si>
  <si>
    <t>Tax payables</t>
  </si>
  <si>
    <t>Deferred tax</t>
  </si>
  <si>
    <t>A/P</t>
  </si>
  <si>
    <t>Liabilties</t>
  </si>
  <si>
    <t>S/E</t>
  </si>
  <si>
    <t>L+S/E</t>
  </si>
  <si>
    <t>HY21</t>
  </si>
  <si>
    <t>FY21</t>
  </si>
  <si>
    <t>HY22</t>
  </si>
  <si>
    <t>FY22</t>
  </si>
  <si>
    <t>HY23</t>
  </si>
  <si>
    <t>FY23</t>
  </si>
  <si>
    <t>HY24</t>
  </si>
  <si>
    <t>FY24</t>
  </si>
  <si>
    <t>Other income</t>
  </si>
  <si>
    <t>EBITDA</t>
  </si>
  <si>
    <t>Interest expense</t>
  </si>
  <si>
    <t>EBITDA margin</t>
  </si>
  <si>
    <t>TTM NI</t>
  </si>
  <si>
    <t>Tangible return</t>
  </si>
  <si>
    <t>Net cash</t>
  </si>
  <si>
    <t>CFFO</t>
  </si>
  <si>
    <t>CapEx</t>
  </si>
  <si>
    <t>FCF</t>
  </si>
  <si>
    <t>Products &amp; services</t>
  </si>
  <si>
    <t>wind (onshore and offshore), hydroelectric, photovoltaic.</t>
  </si>
  <si>
    <t>Transmission and distribution of electricity gas.</t>
  </si>
  <si>
    <t>within grids and generation assets using batteries, and at small scale (kWh) at end-</t>
  </si>
  <si>
    <t>user level.</t>
  </si>
  <si>
    <t xml:space="preserve">New </t>
  </si>
  <si>
    <r>
      <rPr>
        <b/>
        <sz val="10"/>
        <color theme="1"/>
        <rFont val="arial"/>
        <family val="2"/>
      </rPr>
      <t>Storage</t>
    </r>
    <r>
      <rPr>
        <sz val="10"/>
        <color theme="1"/>
        <rFont val="arial"/>
        <family val="2"/>
      </rPr>
      <t xml:space="preserve"> at large scale (GWh) through reversible hydropower, at medium scale (MWh)</t>
    </r>
  </si>
  <si>
    <r>
      <rPr>
        <b/>
        <sz val="10"/>
        <color theme="1"/>
        <rFont val="arial"/>
        <family val="2"/>
      </rPr>
      <t>Electricity generation from renewable sources</t>
    </r>
    <r>
      <rPr>
        <sz val="10"/>
        <color theme="1"/>
        <rFont val="arial"/>
        <family val="2"/>
      </rPr>
      <t>:</t>
    </r>
  </si>
  <si>
    <t>Electricity and gas retail supply.</t>
  </si>
  <si>
    <r>
      <t>New technologies</t>
    </r>
    <r>
      <rPr>
        <sz val="10"/>
        <color theme="1"/>
        <rFont val="arial"/>
        <family val="2"/>
      </rPr>
      <t>, such as green hydrogen produced from renewable electricity.</t>
    </r>
  </si>
  <si>
    <r>
      <t>Energy services for our customers</t>
    </r>
    <r>
      <rPr>
        <sz val="10"/>
        <color theme="1"/>
        <rFont val="arial"/>
        <family val="2"/>
      </rPr>
      <t>: with innovative Smart solutions in the following areas:</t>
    </r>
  </si>
  <si>
    <t>residential, with services such as self-consumption, solar, electric mobility, heat pumps, etc.</t>
  </si>
  <si>
    <t>industrial:offering comprehensive management of energy facilities and supply, such as Green H2, Industrial Heat, etc.</t>
  </si>
  <si>
    <t>Sale and purchase of electricity and gas in wholesale markets.</t>
  </si>
  <si>
    <r>
      <rPr>
        <b/>
        <sz val="10"/>
        <color theme="1"/>
        <rFont val="arial"/>
        <family val="2"/>
      </rPr>
      <t>Digitalisation</t>
    </r>
    <r>
      <rPr>
        <sz val="10"/>
        <color theme="1"/>
        <rFont val="arial"/>
        <family val="2"/>
      </rPr>
      <t>: implementing it across its assets to improve the quality, efficiency and security of electricity supply.</t>
    </r>
  </si>
  <si>
    <t>Costumers around 100 million people</t>
  </si>
  <si>
    <t>Total electrical distribution (Gwh)</t>
  </si>
  <si>
    <t>Spain</t>
  </si>
  <si>
    <t>United Kingdom</t>
  </si>
  <si>
    <t>United States</t>
  </si>
  <si>
    <t>Brazil</t>
  </si>
  <si>
    <t>Change %</t>
  </si>
  <si>
    <t>Total gas distribution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</si>
</sst>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\x"/>
    <numFmt numFmtId="168" formatCode="0.0%"/>
    <numFmt numFmtId="169" formatCode="#,##0.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0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167" fontId="0" fillId="0" borderId="0" xfId="0" applyNumberFormat="1"/>
    <xf numFmtId="14" fontId="0" fillId="0" borderId="0" xfId="0" applyNumberFormat="1"/>
    <xf numFmtId="9" fontId="1" fillId="0" borderId="0" xfId="0" applyNumberFormat="1" applyFont="1"/>
    <xf numFmtId="3" fontId="0" fillId="0" borderId="0" xfId="0" applyNumberFormat="1" applyFont="1"/>
    <xf numFmtId="168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168" fontId="0" fillId="0" borderId="6" xfId="0" applyNumberFormat="1" applyBorder="1"/>
    <xf numFmtId="0" fontId="0" fillId="0" borderId="7" xfId="0" applyBorder="1"/>
    <xf numFmtId="0" fontId="0" fillId="0" borderId="0" xfId="0" applyBorder="1"/>
    <xf numFmtId="3" fontId="0" fillId="0" borderId="0" xfId="0" applyNumberFormat="1" applyBorder="1"/>
    <xf numFmtId="168" fontId="0" fillId="0" borderId="8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3" fontId="0" fillId="3" borderId="2" xfId="0" applyNumberFormat="1" applyFill="1" applyBorder="1"/>
    <xf numFmtId="168" fontId="0" fillId="3" borderId="3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19050</xdr:rowOff>
    </xdr:from>
    <xdr:to>
      <xdr:col>9</xdr:col>
      <xdr:colOff>28575</xdr:colOff>
      <xdr:row>72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CF64CEE-9ADA-5A79-74E5-AE5A7E38E78A}"/>
            </a:ext>
          </a:extLst>
        </xdr:cNvPr>
        <xdr:cNvCxnSpPr/>
      </xdr:nvCxnSpPr>
      <xdr:spPr>
        <a:xfrm>
          <a:off x="6153150" y="19050"/>
          <a:ext cx="0" cy="1166812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0</xdr:row>
      <xdr:rowOff>0</xdr:rowOff>
    </xdr:from>
    <xdr:to>
      <xdr:col>21</xdr:col>
      <xdr:colOff>38100</xdr:colOff>
      <xdr:row>67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5C26EC-7143-4AD8-8ABA-E8FF9577D9B5}"/>
            </a:ext>
          </a:extLst>
        </xdr:cNvPr>
        <xdr:cNvCxnSpPr/>
      </xdr:nvCxnSpPr>
      <xdr:spPr>
        <a:xfrm>
          <a:off x="13477875" y="0"/>
          <a:ext cx="0" cy="1098232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DB85-AC27-4A5C-9258-5683FD459E0B}">
  <dimension ref="B2:L29"/>
  <sheetViews>
    <sheetView workbookViewId="0">
      <selection activeCell="F36" sqref="F36"/>
    </sheetView>
  </sheetViews>
  <sheetFormatPr defaultRowHeight="12.75" x14ac:dyDescent="0.2"/>
  <cols>
    <col min="1" max="1" width="2.85546875" customWidth="1"/>
  </cols>
  <sheetData>
    <row r="2" spans="2:12" ht="15.75" x14ac:dyDescent="0.25">
      <c r="B2" s="16" t="s">
        <v>69</v>
      </c>
      <c r="C2" s="15"/>
    </row>
    <row r="3" spans="2:12" x14ac:dyDescent="0.2">
      <c r="B3" t="s">
        <v>76</v>
      </c>
      <c r="K3" t="s">
        <v>16</v>
      </c>
      <c r="L3">
        <v>13.93</v>
      </c>
    </row>
    <row r="4" spans="2:12" x14ac:dyDescent="0.2">
      <c r="B4" s="13" t="s">
        <v>70</v>
      </c>
      <c r="K4" t="s">
        <v>10</v>
      </c>
      <c r="L4" s="1">
        <v>6364.2510000000002</v>
      </c>
    </row>
    <row r="5" spans="2:12" x14ac:dyDescent="0.2">
      <c r="B5" s="12" t="s">
        <v>71</v>
      </c>
      <c r="K5" t="s">
        <v>17</v>
      </c>
      <c r="L5" s="1">
        <f>+L3*L4</f>
        <v>88654.016430000003</v>
      </c>
    </row>
    <row r="6" spans="2:12" x14ac:dyDescent="0.2">
      <c r="B6" t="s">
        <v>75</v>
      </c>
      <c r="K6" t="s">
        <v>18</v>
      </c>
      <c r="L6" s="1">
        <f>4082+1002+1178</f>
        <v>6262</v>
      </c>
    </row>
    <row r="7" spans="2:12" x14ac:dyDescent="0.2">
      <c r="B7" s="13" t="s">
        <v>72</v>
      </c>
      <c r="K7" t="s">
        <v>19</v>
      </c>
      <c r="L7" s="1">
        <f>40585+13805</f>
        <v>54390</v>
      </c>
    </row>
    <row r="8" spans="2:12" x14ac:dyDescent="0.2">
      <c r="B8" s="13" t="s">
        <v>73</v>
      </c>
      <c r="K8" t="s">
        <v>20</v>
      </c>
      <c r="L8" s="1">
        <f>+L5-L6+L7</f>
        <v>136782.01643000002</v>
      </c>
    </row>
    <row r="9" spans="2:12" x14ac:dyDescent="0.2">
      <c r="B9" s="13" t="s">
        <v>74</v>
      </c>
      <c r="L9" s="1">
        <v>6000</v>
      </c>
    </row>
    <row r="10" spans="2:12" x14ac:dyDescent="0.2">
      <c r="B10" s="14" t="s">
        <v>78</v>
      </c>
      <c r="L10" s="7">
        <f>+L8/L9</f>
        <v>22.797002738333337</v>
      </c>
    </row>
    <row r="11" spans="2:12" x14ac:dyDescent="0.2">
      <c r="B11" s="14" t="s">
        <v>77</v>
      </c>
    </row>
    <row r="12" spans="2:12" x14ac:dyDescent="0.2">
      <c r="B12" s="14" t="s">
        <v>79</v>
      </c>
    </row>
    <row r="13" spans="2:12" x14ac:dyDescent="0.2">
      <c r="B13" s="17" t="s">
        <v>80</v>
      </c>
    </row>
    <row r="14" spans="2:12" x14ac:dyDescent="0.2">
      <c r="B14" s="17" t="s">
        <v>81</v>
      </c>
    </row>
    <row r="15" spans="2:12" x14ac:dyDescent="0.2">
      <c r="B15" s="14" t="s">
        <v>82</v>
      </c>
    </row>
    <row r="16" spans="2:12" x14ac:dyDescent="0.2">
      <c r="B16" s="18" t="s">
        <v>83</v>
      </c>
    </row>
    <row r="18" spans="2:7" x14ac:dyDescent="0.2">
      <c r="B18" t="s">
        <v>84</v>
      </c>
    </row>
    <row r="20" spans="2:7" x14ac:dyDescent="0.2">
      <c r="B20" s="27"/>
      <c r="C20" s="28"/>
      <c r="D20" s="28"/>
      <c r="E20" s="33">
        <v>2024</v>
      </c>
      <c r="F20" s="33">
        <v>2023</v>
      </c>
      <c r="G20" s="34" t="s">
        <v>90</v>
      </c>
    </row>
    <row r="21" spans="2:7" x14ac:dyDescent="0.2">
      <c r="B21" s="19" t="s">
        <v>86</v>
      </c>
      <c r="C21" s="20"/>
      <c r="D21" s="20"/>
      <c r="E21" s="21">
        <v>89060</v>
      </c>
      <c r="F21" s="21">
        <v>87866</v>
      </c>
      <c r="G21" s="22">
        <f>+E21/F21-1</f>
        <v>1.3588873967177229E-2</v>
      </c>
    </row>
    <row r="22" spans="2:7" x14ac:dyDescent="0.2">
      <c r="B22" s="23" t="s">
        <v>87</v>
      </c>
      <c r="C22" s="24"/>
      <c r="D22" s="24"/>
      <c r="E22" s="25">
        <v>30540</v>
      </c>
      <c r="F22" s="25">
        <v>30321</v>
      </c>
      <c r="G22" s="26">
        <f t="shared" ref="G22:G25" si="0">+E22/F22-1</f>
        <v>7.2227169288612281E-3</v>
      </c>
    </row>
    <row r="23" spans="2:7" x14ac:dyDescent="0.2">
      <c r="B23" s="23" t="s">
        <v>88</v>
      </c>
      <c r="C23" s="24"/>
      <c r="D23" s="24"/>
      <c r="E23" s="25">
        <v>37642</v>
      </c>
      <c r="F23" s="25">
        <v>37174</v>
      </c>
      <c r="G23" s="26">
        <f t="shared" si="0"/>
        <v>1.2589444235218128E-2</v>
      </c>
    </row>
    <row r="24" spans="2:7" x14ac:dyDescent="0.2">
      <c r="B24" s="23" t="s">
        <v>89</v>
      </c>
      <c r="C24" s="24"/>
      <c r="D24" s="24"/>
      <c r="E24" s="25">
        <v>80922</v>
      </c>
      <c r="F24" s="25">
        <v>78341</v>
      </c>
      <c r="G24" s="26">
        <f t="shared" si="0"/>
        <v>3.2945711696302116E-2</v>
      </c>
    </row>
    <row r="25" spans="2:7" x14ac:dyDescent="0.2">
      <c r="B25" s="29" t="s">
        <v>85</v>
      </c>
      <c r="C25" s="30"/>
      <c r="D25" s="30"/>
      <c r="E25" s="31">
        <f>+SUM(E21:E24)</f>
        <v>238164</v>
      </c>
      <c r="F25" s="31">
        <f>+SUM(F21:F24)</f>
        <v>233702</v>
      </c>
      <c r="G25" s="32">
        <f t="shared" si="0"/>
        <v>1.9092690691564496E-2</v>
      </c>
    </row>
    <row r="27" spans="2:7" x14ac:dyDescent="0.2">
      <c r="B27" s="27"/>
      <c r="C27" s="28"/>
      <c r="D27" s="28"/>
      <c r="E27" s="33">
        <v>2024</v>
      </c>
      <c r="F27" s="33">
        <v>2023</v>
      </c>
      <c r="G27" s="34" t="s">
        <v>90</v>
      </c>
    </row>
    <row r="28" spans="2:7" x14ac:dyDescent="0.2">
      <c r="B28" s="23" t="s">
        <v>88</v>
      </c>
      <c r="C28" s="24"/>
      <c r="D28" s="24"/>
      <c r="E28" s="25">
        <v>61517</v>
      </c>
      <c r="F28" s="25">
        <v>59900</v>
      </c>
      <c r="G28" s="26">
        <f>+E28/F28-1</f>
        <v>2.6994991652754541E-2</v>
      </c>
    </row>
    <row r="29" spans="2:7" x14ac:dyDescent="0.2">
      <c r="B29" s="29" t="s">
        <v>91</v>
      </c>
      <c r="C29" s="30"/>
      <c r="D29" s="30"/>
      <c r="E29" s="31">
        <v>61517</v>
      </c>
      <c r="F29" s="31">
        <v>59900</v>
      </c>
      <c r="G29" s="32">
        <f>+E29/F29-1</f>
        <v>2.6994991652754541E-2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4660-69B4-48B1-B175-ECFEF6372430}">
  <dimension ref="A1:AE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7" sqref="I77"/>
    </sheetView>
  </sheetViews>
  <sheetFormatPr defaultRowHeight="12.75" x14ac:dyDescent="0.2"/>
  <cols>
    <col min="1" max="1" width="16.7109375" style="1" bestFit="1" customWidth="1"/>
    <col min="2" max="6" width="9.140625" style="1"/>
    <col min="7" max="7" width="10.140625" style="1" bestFit="1" customWidth="1"/>
    <col min="8" max="8" width="9.140625" style="1"/>
    <col min="9" max="9" width="10.140625" style="1" bestFit="1" customWidth="1"/>
    <col min="10" max="16384" width="9.140625" style="1"/>
  </cols>
  <sheetData>
    <row r="1" spans="1:31" s="8" customFormat="1" x14ac:dyDescent="0.2">
      <c r="F1" s="8">
        <v>45107</v>
      </c>
      <c r="G1" s="8">
        <v>45291</v>
      </c>
      <c r="H1" s="8">
        <v>45473</v>
      </c>
      <c r="I1" s="8">
        <v>45657</v>
      </c>
    </row>
    <row r="2" spans="1:31" x14ac:dyDescent="0.2">
      <c r="A2" s="3"/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K2" s="2">
        <v>2014</v>
      </c>
      <c r="L2" s="2">
        <f>+K2+1</f>
        <v>2015</v>
      </c>
      <c r="M2" s="2">
        <f t="shared" ref="M2:AF2" si="0">+L2+1</f>
        <v>2016</v>
      </c>
      <c r="N2" s="2">
        <f t="shared" si="0"/>
        <v>2017</v>
      </c>
      <c r="O2" s="2">
        <f t="shared" si="0"/>
        <v>2018</v>
      </c>
      <c r="P2" s="2">
        <f t="shared" si="0"/>
        <v>2019</v>
      </c>
      <c r="Q2" s="2">
        <f t="shared" si="0"/>
        <v>2020</v>
      </c>
      <c r="R2" s="2">
        <f t="shared" si="0"/>
        <v>2021</v>
      </c>
      <c r="S2" s="2">
        <f t="shared" si="0"/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 t="shared" si="0"/>
        <v>2030</v>
      </c>
      <c r="AB2" s="2">
        <f t="shared" si="0"/>
        <v>2031</v>
      </c>
      <c r="AC2" s="2">
        <f t="shared" si="0"/>
        <v>2032</v>
      </c>
      <c r="AD2" s="2">
        <f t="shared" si="0"/>
        <v>2033</v>
      </c>
      <c r="AE2" s="2">
        <f t="shared" si="0"/>
        <v>2034</v>
      </c>
    </row>
    <row r="3" spans="1:31" s="6" customFormat="1" x14ac:dyDescent="0.2">
      <c r="A3" s="6" t="s">
        <v>0</v>
      </c>
      <c r="F3" s="6">
        <v>26264</v>
      </c>
      <c r="G3" s="6">
        <f>+T3-F3</f>
        <v>23071</v>
      </c>
      <c r="H3" s="6">
        <v>22637</v>
      </c>
      <c r="I3" s="6">
        <f>+U3-H3</f>
        <v>22102</v>
      </c>
      <c r="T3" s="6">
        <v>49335</v>
      </c>
      <c r="U3" s="6">
        <v>44739</v>
      </c>
    </row>
    <row r="4" spans="1:31" x14ac:dyDescent="0.2">
      <c r="A4" s="1" t="s">
        <v>1</v>
      </c>
      <c r="F4" s="1">
        <v>14140</v>
      </c>
      <c r="G4" s="10">
        <f>+T4-F4</f>
        <v>11893</v>
      </c>
      <c r="H4" s="1">
        <v>10148</v>
      </c>
      <c r="I4" s="10">
        <f>+U4-H4</f>
        <v>10715</v>
      </c>
      <c r="T4" s="1">
        <v>26033</v>
      </c>
      <c r="U4" s="1">
        <v>20863</v>
      </c>
    </row>
    <row r="5" spans="1:31" x14ac:dyDescent="0.2">
      <c r="A5" s="1" t="s">
        <v>2</v>
      </c>
      <c r="F5" s="1">
        <f>+F3-F4</f>
        <v>12124</v>
      </c>
      <c r="G5" s="1">
        <f>+G3-G4</f>
        <v>11178</v>
      </c>
      <c r="H5" s="1">
        <f>+H3-H4</f>
        <v>12489</v>
      </c>
      <c r="I5" s="1">
        <f>+I3-I4</f>
        <v>11387</v>
      </c>
      <c r="T5" s="1">
        <f>+T3-T4</f>
        <v>23302</v>
      </c>
      <c r="U5" s="1">
        <f>+U3-U4</f>
        <v>23876</v>
      </c>
    </row>
    <row r="6" spans="1:31" x14ac:dyDescent="0.2">
      <c r="A6" s="1" t="s">
        <v>21</v>
      </c>
      <c r="F6" s="1">
        <v>1824</v>
      </c>
      <c r="G6" s="10">
        <f t="shared" ref="G6:G19" si="1">+T6-F6</f>
        <v>2000</v>
      </c>
      <c r="H6" s="1">
        <v>1894</v>
      </c>
      <c r="I6" s="10">
        <f t="shared" ref="I6:I19" si="2">+U6-H6</f>
        <v>2047</v>
      </c>
      <c r="T6" s="1">
        <v>3824</v>
      </c>
      <c r="U6" s="1">
        <v>3941</v>
      </c>
    </row>
    <row r="7" spans="1:31" x14ac:dyDescent="0.2">
      <c r="A7" s="1" t="s">
        <v>24</v>
      </c>
      <c r="F7" s="1">
        <v>-408</v>
      </c>
      <c r="G7" s="10">
        <f t="shared" si="1"/>
        <v>-456</v>
      </c>
      <c r="H7" s="1">
        <v>-452</v>
      </c>
      <c r="I7" s="10">
        <f t="shared" si="2"/>
        <v>-495</v>
      </c>
      <c r="T7" s="1">
        <v>-864</v>
      </c>
      <c r="U7" s="1">
        <v>-947</v>
      </c>
    </row>
    <row r="8" spans="1:31" x14ac:dyDescent="0.2">
      <c r="A8" s="1" t="s">
        <v>22</v>
      </c>
      <c r="F8" s="1">
        <v>1850</v>
      </c>
      <c r="G8" s="10">
        <f t="shared" si="1"/>
        <v>2150</v>
      </c>
      <c r="H8" s="1">
        <v>2078</v>
      </c>
      <c r="I8" s="10">
        <f t="shared" si="2"/>
        <v>2081</v>
      </c>
      <c r="T8" s="1">
        <v>4000</v>
      </c>
      <c r="U8" s="1">
        <v>4159</v>
      </c>
    </row>
    <row r="9" spans="1:31" x14ac:dyDescent="0.2">
      <c r="A9" s="1" t="s">
        <v>59</v>
      </c>
      <c r="F9" s="1">
        <v>-361</v>
      </c>
      <c r="G9" s="10">
        <f t="shared" si="1"/>
        <v>-463</v>
      </c>
      <c r="H9" s="1">
        <v>-2111</v>
      </c>
      <c r="I9" s="10">
        <f t="shared" si="2"/>
        <v>-580</v>
      </c>
      <c r="T9" s="1">
        <v>-824</v>
      </c>
      <c r="U9" s="1">
        <v>-2691</v>
      </c>
    </row>
    <row r="10" spans="1:31" x14ac:dyDescent="0.2">
      <c r="A10" s="1" t="s">
        <v>3</v>
      </c>
      <c r="F10" s="1">
        <f>+SUM(F6:F9)</f>
        <v>2905</v>
      </c>
      <c r="G10" s="1">
        <f>+SUM(G6:G9)</f>
        <v>3231</v>
      </c>
      <c r="H10" s="1">
        <f>+SUM(H6:H9)</f>
        <v>1409</v>
      </c>
      <c r="I10" s="1">
        <f>+SUM(I6:I9)</f>
        <v>3053</v>
      </c>
      <c r="T10" s="1">
        <f>+SUM(T6:T9)</f>
        <v>6136</v>
      </c>
      <c r="U10" s="1">
        <f>+SUM(U6:U9)</f>
        <v>4462</v>
      </c>
    </row>
    <row r="11" spans="1:31" x14ac:dyDescent="0.2">
      <c r="A11" s="1" t="s">
        <v>27</v>
      </c>
      <c r="F11" s="1">
        <v>1658</v>
      </c>
      <c r="G11" s="10">
        <f t="shared" si="1"/>
        <v>1091</v>
      </c>
      <c r="H11" s="1">
        <v>1466</v>
      </c>
      <c r="I11" s="10">
        <f t="shared" si="2"/>
        <v>1100</v>
      </c>
      <c r="T11" s="1">
        <v>2749</v>
      </c>
      <c r="U11" s="1">
        <v>2566</v>
      </c>
    </row>
    <row r="12" spans="1:31" s="6" customFormat="1" x14ac:dyDescent="0.2">
      <c r="A12" s="6" t="s">
        <v>60</v>
      </c>
      <c r="F12" s="6">
        <f>+F5-SUM(F10:F11)</f>
        <v>7561</v>
      </c>
      <c r="G12" s="6">
        <f>+G5-SUM(G10:G11)</f>
        <v>6856</v>
      </c>
      <c r="H12" s="6">
        <f>+H5-SUM(H10:H11)</f>
        <v>9614</v>
      </c>
      <c r="I12" s="6">
        <f>+I5-SUM(I10:I11)</f>
        <v>7234</v>
      </c>
      <c r="T12" s="6">
        <f>+T5-SUM(T10:T11)</f>
        <v>14417</v>
      </c>
      <c r="U12" s="6">
        <f>+U5-SUM(U10:U11)</f>
        <v>16848</v>
      </c>
    </row>
    <row r="13" spans="1:31" x14ac:dyDescent="0.2">
      <c r="A13" s="1" t="s">
        <v>25</v>
      </c>
      <c r="F13" s="1">
        <v>293</v>
      </c>
      <c r="G13" s="10">
        <f t="shared" si="1"/>
        <v>325</v>
      </c>
      <c r="H13" s="1">
        <v>261</v>
      </c>
      <c r="I13" s="10">
        <f t="shared" si="2"/>
        <v>210</v>
      </c>
      <c r="T13" s="1">
        <v>618</v>
      </c>
      <c r="U13" s="1">
        <v>471</v>
      </c>
    </row>
    <row r="14" spans="1:31" x14ac:dyDescent="0.2">
      <c r="A14" s="1" t="s">
        <v>26</v>
      </c>
      <c r="F14" s="1">
        <v>2357</v>
      </c>
      <c r="G14" s="10">
        <f t="shared" si="1"/>
        <v>2469</v>
      </c>
      <c r="H14" s="1">
        <v>2494</v>
      </c>
      <c r="I14" s="10">
        <f t="shared" si="2"/>
        <v>4154</v>
      </c>
      <c r="T14" s="1">
        <v>4826</v>
      </c>
      <c r="U14" s="1">
        <v>6648</v>
      </c>
    </row>
    <row r="15" spans="1:31" x14ac:dyDescent="0.2">
      <c r="A15" s="1" t="s">
        <v>4</v>
      </c>
      <c r="F15" s="1">
        <f>+F12-SUM(F13:F14)</f>
        <v>4911</v>
      </c>
      <c r="G15" s="1">
        <f>+G12-SUM(G13:G14)</f>
        <v>4062</v>
      </c>
      <c r="H15" s="1">
        <f>+H12-SUM(H13:H14)</f>
        <v>6859</v>
      </c>
      <c r="I15" s="1">
        <f>+I12-SUM(I13:I14)</f>
        <v>2870</v>
      </c>
      <c r="T15" s="1">
        <f>+T12-SUM(T13:T14)</f>
        <v>8973</v>
      </c>
      <c r="U15" s="1">
        <f>+U12-SUM(U13:U14)</f>
        <v>9729</v>
      </c>
    </row>
    <row r="16" spans="1:31" x14ac:dyDescent="0.2">
      <c r="A16" s="1" t="s">
        <v>5</v>
      </c>
      <c r="F16" s="1">
        <v>818</v>
      </c>
      <c r="G16" s="10">
        <f t="shared" si="1"/>
        <v>717</v>
      </c>
      <c r="H16" s="1">
        <v>1074</v>
      </c>
      <c r="I16" s="10">
        <f t="shared" si="2"/>
        <v>1303</v>
      </c>
      <c r="T16" s="1">
        <f>1535</f>
        <v>1535</v>
      </c>
      <c r="U16" s="1">
        <f>2377</f>
        <v>2377</v>
      </c>
    </row>
    <row r="17" spans="1:21" x14ac:dyDescent="0.2">
      <c r="A17" s="1" t="s">
        <v>61</v>
      </c>
      <c r="F17" s="1">
        <v>-1945</v>
      </c>
      <c r="G17" s="10">
        <f t="shared" si="1"/>
        <v>-1777</v>
      </c>
      <c r="H17" s="1">
        <v>-1922</v>
      </c>
      <c r="I17" s="10">
        <f t="shared" si="2"/>
        <v>-2030</v>
      </c>
      <c r="T17" s="1">
        <v>-3722</v>
      </c>
      <c r="U17" s="1">
        <v>-3952</v>
      </c>
    </row>
    <row r="18" spans="1:21" x14ac:dyDescent="0.2">
      <c r="A18" s="1" t="s">
        <v>6</v>
      </c>
      <c r="F18" s="1">
        <f>+F15+SUM(F16:F17)</f>
        <v>3784</v>
      </c>
      <c r="G18" s="1">
        <f>+G15+SUM(G16:G17)</f>
        <v>3002</v>
      </c>
      <c r="H18" s="1">
        <f>+H15+SUM(H16:H17)</f>
        <v>6011</v>
      </c>
      <c r="I18" s="1">
        <f>+I15+SUM(I16:I17)</f>
        <v>2143</v>
      </c>
      <c r="T18" s="1">
        <f>+T15+SUM(T16:T17)</f>
        <v>6786</v>
      </c>
      <c r="U18" s="1">
        <f>+U15+SUM(U16:U17)</f>
        <v>8154</v>
      </c>
    </row>
    <row r="19" spans="1:21" x14ac:dyDescent="0.2">
      <c r="A19" s="1" t="s">
        <v>7</v>
      </c>
      <c r="F19" s="1">
        <v>1127</v>
      </c>
      <c r="G19" s="10">
        <f t="shared" si="1"/>
        <v>483</v>
      </c>
      <c r="H19" s="1">
        <v>1609</v>
      </c>
      <c r="I19" s="10">
        <f t="shared" si="2"/>
        <v>541</v>
      </c>
      <c r="T19" s="1">
        <v>1610</v>
      </c>
      <c r="U19" s="1">
        <v>2150</v>
      </c>
    </row>
    <row r="20" spans="1:21" x14ac:dyDescent="0.2">
      <c r="A20" s="1" t="s">
        <v>8</v>
      </c>
      <c r="F20" s="1">
        <f>+F18-F19</f>
        <v>2657</v>
      </c>
      <c r="G20" s="1">
        <f>+G18-G19</f>
        <v>2519</v>
      </c>
      <c r="H20" s="1">
        <f>+H18-H19</f>
        <v>4402</v>
      </c>
      <c r="I20" s="1">
        <f>+I18-I19</f>
        <v>1602</v>
      </c>
      <c r="T20" s="1">
        <f>+T18-T19</f>
        <v>5176</v>
      </c>
      <c r="U20" s="1">
        <f>+U18-U19</f>
        <v>6004</v>
      </c>
    </row>
    <row r="21" spans="1:21" s="5" customFormat="1" x14ac:dyDescent="0.2">
      <c r="A21" s="5" t="s">
        <v>9</v>
      </c>
      <c r="F21" s="5">
        <f>+F20/F22</f>
        <v>0.41217033353996146</v>
      </c>
      <c r="G21" s="5">
        <f>+G20/G22</f>
        <v>0.39667554711777969</v>
      </c>
      <c r="H21" s="5">
        <f>+H20/H22</f>
        <v>0.68531762261106011</v>
      </c>
      <c r="I21" s="5">
        <f>+I20/I22</f>
        <v>0.25171854472741567</v>
      </c>
      <c r="T21" s="5">
        <f>+T20/T22</f>
        <v>0.8150824263126748</v>
      </c>
      <c r="U21" s="5">
        <f>+U20/U22</f>
        <v>0.94339459584482133</v>
      </c>
    </row>
    <row r="22" spans="1:21" x14ac:dyDescent="0.2">
      <c r="A22" s="1" t="s">
        <v>10</v>
      </c>
      <c r="F22" s="1">
        <v>6446.3639999999996</v>
      </c>
      <c r="G22" s="1">
        <v>6350.2780000000002</v>
      </c>
      <c r="H22" s="1">
        <v>6423.299</v>
      </c>
      <c r="I22" s="1">
        <f>+U22</f>
        <v>6364.2510000000002</v>
      </c>
      <c r="T22" s="1">
        <v>6350.2780000000002</v>
      </c>
      <c r="U22" s="1">
        <v>6364.2510000000002</v>
      </c>
    </row>
    <row r="24" spans="1:21" s="4" customFormat="1" x14ac:dyDescent="0.2">
      <c r="A24" s="4" t="s">
        <v>11</v>
      </c>
      <c r="F24" s="4">
        <f>+F5/F3</f>
        <v>0.46162046908315563</v>
      </c>
      <c r="G24" s="4">
        <f>+G5/G3</f>
        <v>0.4845043561180703</v>
      </c>
      <c r="H24" s="4">
        <f>+H5/H3</f>
        <v>0.55170738172019262</v>
      </c>
      <c r="I24" s="4">
        <f>+I5/I3</f>
        <v>0.51520224414080174</v>
      </c>
      <c r="T24" s="4">
        <f>+T5/T3</f>
        <v>0.4723218810175332</v>
      </c>
      <c r="U24" s="4">
        <f>+U5/U3</f>
        <v>0.53367308165135563</v>
      </c>
    </row>
    <row r="25" spans="1:21" s="4" customFormat="1" x14ac:dyDescent="0.2">
      <c r="A25" s="4" t="s">
        <v>62</v>
      </c>
      <c r="F25" s="4">
        <f>+F12/F3</f>
        <v>0.28788455680779773</v>
      </c>
      <c r="G25" s="4">
        <f>+G12/G3</f>
        <v>0.29716960686576221</v>
      </c>
      <c r="H25" s="4">
        <f>+H12/H3</f>
        <v>0.42470291999823301</v>
      </c>
      <c r="I25" s="4">
        <f>+I12/I3</f>
        <v>0.32730069676952311</v>
      </c>
    </row>
    <row r="26" spans="1:21" s="4" customFormat="1" x14ac:dyDescent="0.2">
      <c r="A26" s="4" t="s">
        <v>12</v>
      </c>
      <c r="F26" s="4">
        <f>+F15/F3</f>
        <v>0.18698598842522082</v>
      </c>
      <c r="G26" s="4">
        <f>+G15/G3</f>
        <v>0.17606519006545013</v>
      </c>
      <c r="H26" s="4">
        <f>+H15/H3</f>
        <v>0.30299951406988557</v>
      </c>
      <c r="I26" s="4">
        <f>+I15/I3</f>
        <v>0.12985250203601484</v>
      </c>
      <c r="T26" s="4">
        <f>+T15/T3</f>
        <v>0.18187899057464274</v>
      </c>
      <c r="U26" s="4">
        <f>+U15/U3</f>
        <v>0.21746127539730437</v>
      </c>
    </row>
    <row r="27" spans="1:21" s="4" customFormat="1" x14ac:dyDescent="0.2">
      <c r="A27" s="4" t="s">
        <v>13</v>
      </c>
      <c r="F27" s="4">
        <f>+F20/F3</f>
        <v>0.10116509290283278</v>
      </c>
      <c r="G27" s="4">
        <f>+G20/G3</f>
        <v>0.10918469073728924</v>
      </c>
      <c r="H27" s="4">
        <f>+H20/H3</f>
        <v>0.19446039669567522</v>
      </c>
      <c r="I27" s="4">
        <f>+I20/I3</f>
        <v>7.2482128314179717E-2</v>
      </c>
      <c r="T27" s="4">
        <f>+T20/T3</f>
        <v>0.10491537448059188</v>
      </c>
      <c r="U27" s="4">
        <f>+U20/U3</f>
        <v>0.13420058561881132</v>
      </c>
    </row>
    <row r="28" spans="1:21" s="4" customFormat="1" x14ac:dyDescent="0.2">
      <c r="A28" s="4" t="s">
        <v>14</v>
      </c>
      <c r="F28" s="4">
        <f>+F19/F18</f>
        <v>0.29783298097251587</v>
      </c>
      <c r="G28" s="4">
        <f>+G19/G18</f>
        <v>0.1608927381745503</v>
      </c>
      <c r="H28" s="4">
        <f>+H19/H18</f>
        <v>0.26767592746631175</v>
      </c>
      <c r="I28" s="4">
        <f>+I19/I18</f>
        <v>0.25244983667755483</v>
      </c>
    </row>
    <row r="29" spans="1:21" s="4" customFormat="1" x14ac:dyDescent="0.2"/>
    <row r="30" spans="1:21" s="9" customFormat="1" x14ac:dyDescent="0.2">
      <c r="A30" s="9" t="s">
        <v>15</v>
      </c>
      <c r="F30" s="9" t="e">
        <f>+F3/D3-1</f>
        <v>#DIV/0!</v>
      </c>
      <c r="G30" s="9" t="e">
        <f>+G3/E3-1</f>
        <v>#DIV/0!</v>
      </c>
      <c r="H30" s="9">
        <f>+H3/F3-1</f>
        <v>-0.13809777642400245</v>
      </c>
      <c r="I30" s="9">
        <f>+I3/G3-1</f>
        <v>-4.2000780200251442E-2</v>
      </c>
      <c r="T30" s="9" t="e">
        <f>+T3/S3-1</f>
        <v>#DIV/0!</v>
      </c>
      <c r="U30" s="9">
        <f>+U3/T3-1</f>
        <v>-9.3159014898145376E-2</v>
      </c>
    </row>
    <row r="32" spans="1:21" x14ac:dyDescent="0.2">
      <c r="A32" s="1" t="s">
        <v>65</v>
      </c>
      <c r="G32" s="1">
        <f>+G45-G50</f>
        <v>-38756</v>
      </c>
      <c r="H32" s="1">
        <f>+H45-H50</f>
        <v>-35051</v>
      </c>
      <c r="I32" s="1">
        <f>+I45-I50</f>
        <v>-42012</v>
      </c>
    </row>
    <row r="33" spans="1:9" x14ac:dyDescent="0.2">
      <c r="A33" s="1" t="s">
        <v>28</v>
      </c>
      <c r="G33" s="1">
        <v>20255</v>
      </c>
      <c r="H33" s="1">
        <v>20255</v>
      </c>
      <c r="I33" s="1">
        <v>20255</v>
      </c>
    </row>
    <row r="34" spans="1:9" x14ac:dyDescent="0.2">
      <c r="A34" s="1" t="s">
        <v>29</v>
      </c>
      <c r="G34" s="1">
        <v>431</v>
      </c>
      <c r="H34" s="1">
        <v>423</v>
      </c>
      <c r="I34" s="1">
        <v>420</v>
      </c>
    </row>
    <row r="35" spans="1:9" x14ac:dyDescent="0.2">
      <c r="A35" s="1" t="s">
        <v>30</v>
      </c>
      <c r="G35" s="1">
        <v>87821</v>
      </c>
      <c r="H35" s="1">
        <v>91678</v>
      </c>
      <c r="I35" s="1">
        <v>94461</v>
      </c>
    </row>
    <row r="36" spans="1:9" x14ac:dyDescent="0.2">
      <c r="A36" s="1" t="s">
        <v>31</v>
      </c>
      <c r="G36" s="1">
        <v>2488</v>
      </c>
      <c r="H36" s="1">
        <v>2575</v>
      </c>
      <c r="I36" s="1">
        <v>2630</v>
      </c>
    </row>
    <row r="37" spans="1:9" x14ac:dyDescent="0.2">
      <c r="A37" s="1" t="s">
        <v>32</v>
      </c>
      <c r="G37" s="1">
        <v>9740</v>
      </c>
      <c r="H37" s="1">
        <v>10081</v>
      </c>
      <c r="I37" s="1">
        <v>13032</v>
      </c>
    </row>
    <row r="38" spans="1:9" x14ac:dyDescent="0.2">
      <c r="A38" s="1" t="s">
        <v>33</v>
      </c>
      <c r="G38" s="1">
        <f>3343+10039</f>
        <v>13382</v>
      </c>
      <c r="H38" s="1">
        <f>3981+10539</f>
        <v>14520</v>
      </c>
      <c r="I38" s="1">
        <f>3876+10777</f>
        <v>14653</v>
      </c>
    </row>
    <row r="39" spans="1:9" x14ac:dyDescent="0.2">
      <c r="A39" s="1" t="s">
        <v>34</v>
      </c>
      <c r="G39" s="1">
        <v>883</v>
      </c>
      <c r="H39" s="1">
        <v>821</v>
      </c>
      <c r="I39" s="1">
        <v>832</v>
      </c>
    </row>
    <row r="40" spans="1:9" x14ac:dyDescent="0.2">
      <c r="A40" s="1" t="s">
        <v>35</v>
      </c>
      <c r="G40" s="1">
        <v>2009</v>
      </c>
      <c r="H40" s="1">
        <v>1961</v>
      </c>
      <c r="I40" s="1">
        <v>1952</v>
      </c>
    </row>
    <row r="41" spans="1:9" x14ac:dyDescent="0.2">
      <c r="A41" s="1" t="s">
        <v>36</v>
      </c>
      <c r="G41" s="1">
        <v>4719</v>
      </c>
      <c r="H41" s="1">
        <v>267</v>
      </c>
      <c r="I41" s="1">
        <v>404</v>
      </c>
    </row>
    <row r="42" spans="1:9" x14ac:dyDescent="0.2">
      <c r="A42" s="1" t="s">
        <v>37</v>
      </c>
      <c r="G42" s="1">
        <v>278</v>
      </c>
      <c r="H42" s="1">
        <v>304</v>
      </c>
      <c r="I42" s="1">
        <v>318</v>
      </c>
    </row>
    <row r="43" spans="1:9" x14ac:dyDescent="0.2">
      <c r="A43" s="1" t="s">
        <v>38</v>
      </c>
      <c r="G43" s="1">
        <v>2550</v>
      </c>
      <c r="H43" s="1">
        <v>2832</v>
      </c>
      <c r="I43" s="1">
        <v>2987</v>
      </c>
    </row>
    <row r="44" spans="1:9" x14ac:dyDescent="0.2">
      <c r="A44" s="1" t="s">
        <v>39</v>
      </c>
      <c r="G44" s="1">
        <v>2457</v>
      </c>
      <c r="H44" s="1">
        <v>2678</v>
      </c>
      <c r="I44" s="1">
        <v>2267</v>
      </c>
    </row>
    <row r="45" spans="1:9" x14ac:dyDescent="0.2">
      <c r="A45" s="1" t="s">
        <v>18</v>
      </c>
      <c r="G45" s="1">
        <v>3019</v>
      </c>
      <c r="H45" s="1">
        <v>5393</v>
      </c>
      <c r="I45" s="1">
        <v>4082</v>
      </c>
    </row>
    <row r="46" spans="1:9" s="6" customFormat="1" x14ac:dyDescent="0.2">
      <c r="A46" s="6" t="s">
        <v>40</v>
      </c>
      <c r="G46" s="6">
        <f>+SUM(G33:G45)</f>
        <v>150032</v>
      </c>
      <c r="H46" s="6">
        <f>+SUM(H33:H45)</f>
        <v>153788</v>
      </c>
      <c r="I46" s="6">
        <f>+SUM(I33:I45)</f>
        <v>158293</v>
      </c>
    </row>
    <row r="47" spans="1:9" x14ac:dyDescent="0.2">
      <c r="A47" s="1" t="s">
        <v>41</v>
      </c>
      <c r="G47" s="1">
        <v>1136</v>
      </c>
      <c r="H47" s="1">
        <v>1127</v>
      </c>
      <c r="I47" s="1">
        <v>1305</v>
      </c>
    </row>
    <row r="48" spans="1:9" x14ac:dyDescent="0.2">
      <c r="A48" s="1" t="s">
        <v>42</v>
      </c>
      <c r="G48" s="1">
        <v>6021</v>
      </c>
      <c r="H48" s="1">
        <v>5366</v>
      </c>
      <c r="I48" s="1">
        <v>6683</v>
      </c>
    </row>
    <row r="49" spans="1:9" x14ac:dyDescent="0.2">
      <c r="A49" s="1" t="s">
        <v>43</v>
      </c>
      <c r="G49" s="1">
        <f>4536+920</f>
        <v>5456</v>
      </c>
      <c r="H49" s="1">
        <f>4689+906</f>
        <v>5595</v>
      </c>
      <c r="I49" s="1">
        <f>4624+795</f>
        <v>5419</v>
      </c>
    </row>
    <row r="50" spans="1:9" x14ac:dyDescent="0.2">
      <c r="A50" s="1" t="s">
        <v>19</v>
      </c>
      <c r="G50" s="1">
        <v>41775</v>
      </c>
      <c r="H50" s="1">
        <v>40444</v>
      </c>
      <c r="I50" s="1">
        <v>46094</v>
      </c>
    </row>
    <row r="51" spans="1:9" x14ac:dyDescent="0.2">
      <c r="A51" s="1" t="s">
        <v>44</v>
      </c>
      <c r="G51" s="1">
        <v>435</v>
      </c>
      <c r="H51" s="1">
        <v>1332</v>
      </c>
      <c r="I51" s="1">
        <v>434</v>
      </c>
    </row>
    <row r="52" spans="1:9" x14ac:dyDescent="0.2">
      <c r="A52" s="1" t="s">
        <v>45</v>
      </c>
      <c r="G52" s="1">
        <v>387</v>
      </c>
      <c r="H52" s="1">
        <v>401</v>
      </c>
      <c r="I52" s="1">
        <v>418</v>
      </c>
    </row>
    <row r="53" spans="1:9" x14ac:dyDescent="0.2">
      <c r="A53" s="1" t="s">
        <v>46</v>
      </c>
      <c r="G53" s="1">
        <v>7379</v>
      </c>
      <c r="H53" s="1">
        <v>7614</v>
      </c>
      <c r="I53" s="1">
        <v>7545</v>
      </c>
    </row>
    <row r="54" spans="1:9" x14ac:dyDescent="0.2">
      <c r="A54" s="1" t="s">
        <v>36</v>
      </c>
      <c r="G54" s="1">
        <v>1097</v>
      </c>
      <c r="H54" s="1">
        <v>136</v>
      </c>
      <c r="I54" s="1">
        <v>197</v>
      </c>
    </row>
    <row r="55" spans="1:9" x14ac:dyDescent="0.2">
      <c r="A55" s="1" t="s">
        <v>47</v>
      </c>
      <c r="G55" s="1">
        <v>23119</v>
      </c>
      <c r="H55" s="1">
        <v>24096</v>
      </c>
      <c r="I55" s="1">
        <v>25528</v>
      </c>
    </row>
    <row r="56" spans="1:9" x14ac:dyDescent="0.2">
      <c r="A56" s="1" t="s">
        <v>23</v>
      </c>
      <c r="G56" s="1">
        <v>2935</v>
      </c>
      <c r="H56" s="1">
        <v>3879</v>
      </c>
      <c r="I56" s="1">
        <v>3619</v>
      </c>
    </row>
    <row r="57" spans="1:9" s="6" customFormat="1" x14ac:dyDescent="0.2">
      <c r="A57" s="6" t="s">
        <v>48</v>
      </c>
      <c r="G57" s="6">
        <f>+SUM(G47:G56)</f>
        <v>89740</v>
      </c>
      <c r="H57" s="6">
        <f>+SUM(H47:H56)</f>
        <v>89990</v>
      </c>
      <c r="I57" s="6">
        <f>+SUM(I47:I56)</f>
        <v>97242</v>
      </c>
    </row>
    <row r="58" spans="1:9" x14ac:dyDescent="0.2">
      <c r="A58" s="1" t="s">
        <v>49</v>
      </c>
      <c r="G58" s="1">
        <v>60292</v>
      </c>
      <c r="H58" s="1">
        <v>63798</v>
      </c>
      <c r="I58" s="1">
        <v>61051</v>
      </c>
    </row>
    <row r="59" spans="1:9" x14ac:dyDescent="0.2">
      <c r="A59" s="1" t="s">
        <v>50</v>
      </c>
      <c r="G59" s="1">
        <f>+G58+G57</f>
        <v>150032</v>
      </c>
      <c r="H59" s="1">
        <f>+H58+H57</f>
        <v>153788</v>
      </c>
      <c r="I59" s="1">
        <f>+I58+I57</f>
        <v>158293</v>
      </c>
    </row>
    <row r="61" spans="1:9" x14ac:dyDescent="0.2">
      <c r="A61" s="1" t="s">
        <v>63</v>
      </c>
      <c r="G61" s="1">
        <f>+SUM(F20:G20)</f>
        <v>5176</v>
      </c>
      <c r="H61" s="1">
        <f>+SUM(G20:H20)</f>
        <v>6921</v>
      </c>
      <c r="I61" s="1">
        <f>+SUM(H20:I20)</f>
        <v>6004</v>
      </c>
    </row>
    <row r="62" spans="1:9" s="11" customFormat="1" x14ac:dyDescent="0.2">
      <c r="A62" s="11" t="s">
        <v>64</v>
      </c>
      <c r="G62" s="11">
        <f>+G61/SUM(G34:G44)</f>
        <v>4.0833714637340444E-2</v>
      </c>
      <c r="H62" s="11">
        <f>+H61/SUM(H34:H44)</f>
        <v>5.4011237708756051E-2</v>
      </c>
      <c r="I62" s="11">
        <f>+I61/SUM(I34:I44)</f>
        <v>4.4820687389889216E-2</v>
      </c>
    </row>
    <row r="64" spans="1:9" x14ac:dyDescent="0.2">
      <c r="A64" s="1" t="s">
        <v>66</v>
      </c>
      <c r="F64" s="1">
        <v>5623</v>
      </c>
      <c r="G64" s="1">
        <f>12130-F64</f>
        <v>6507</v>
      </c>
      <c r="H64" s="1">
        <v>5519</v>
      </c>
      <c r="I64" s="1">
        <f>11920-H64</f>
        <v>6401</v>
      </c>
    </row>
    <row r="65" spans="1:9" x14ac:dyDescent="0.2">
      <c r="A65" s="1" t="s">
        <v>67</v>
      </c>
      <c r="F65" s="1">
        <v>2673</v>
      </c>
      <c r="G65" s="1">
        <f>7336-F65</f>
        <v>4663</v>
      </c>
      <c r="H65" s="1">
        <v>4037</v>
      </c>
      <c r="I65" s="1">
        <f>7665-H65</f>
        <v>3628</v>
      </c>
    </row>
    <row r="66" spans="1:9" x14ac:dyDescent="0.2">
      <c r="A66" s="1" t="s">
        <v>68</v>
      </c>
      <c r="F66" s="1">
        <f>+F64-F65</f>
        <v>2950</v>
      </c>
      <c r="G66" s="1">
        <f>+G64-G65</f>
        <v>1844</v>
      </c>
      <c r="H66" s="1">
        <f>+H64-H65</f>
        <v>1482</v>
      </c>
      <c r="I66" s="1">
        <f>+I64-I65</f>
        <v>2773</v>
      </c>
    </row>
    <row r="81" spans="5:8" x14ac:dyDescent="0.2">
      <c r="E81" s="5"/>
      <c r="F81" s="36"/>
      <c r="G81" s="36"/>
    </row>
    <row r="82" spans="5:8" x14ac:dyDescent="0.2">
      <c r="E82" s="5"/>
      <c r="F82" s="5"/>
      <c r="G82" s="3"/>
      <c r="H82" s="2"/>
    </row>
    <row r="83" spans="5:8" x14ac:dyDescent="0.2">
      <c r="F83" s="5"/>
      <c r="G83" s="35"/>
      <c r="H83" s="5"/>
    </row>
    <row r="84" spans="5:8" x14ac:dyDescent="0.2">
      <c r="F84" s="36"/>
    </row>
    <row r="86" spans="5:8" x14ac:dyDescent="0.2">
      <c r="F86" s="5"/>
      <c r="G86" s="5"/>
    </row>
    <row r="87" spans="5:8" x14ac:dyDescent="0.2">
      <c r="F87" s="5"/>
    </row>
    <row r="88" spans="5:8" x14ac:dyDescent="0.2">
      <c r="F8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2025-03-14T19:33:50Z</dcterms:created>
  <dcterms:modified xsi:type="dcterms:W3CDTF">2025-03-16T05:32:35Z</dcterms:modified>
</cp:coreProperties>
</file>