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emiconductors\"/>
    </mc:Choice>
  </mc:AlternateContent>
  <xr:revisionPtr revIDLastSave="0" documentId="13_ncr:1_{4F7A6EE4-8242-4840-A2B2-81AD75BB46C1}" xr6:coauthVersionLast="47" xr6:coauthVersionMax="47" xr10:uidLastSave="{00000000-0000-0000-0000-000000000000}"/>
  <bookViews>
    <workbookView xWindow="-120" yWindow="-120" windowWidth="29040" windowHeight="15840" activeTab="2" xr2:uid="{21553544-4301-48DB-8BBE-99B14842B373}"/>
  </bookViews>
  <sheets>
    <sheet name="Main" sheetId="2" r:id="rId1"/>
    <sheet name="Model" sheetId="1" r:id="rId2"/>
    <sheet name="Segment" sheetId="7" r:id="rId3"/>
    <sheet name="Geographic" sheetId="4" r:id="rId4"/>
    <sheet name="ROIC" sheetId="3" r:id="rId5"/>
    <sheet name="Intel Core Ultra 2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1" l="1"/>
  <c r="AE9" i="1"/>
  <c r="AD9" i="1"/>
  <c r="AG9" i="1"/>
  <c r="F9" i="2"/>
  <c r="F8" i="2"/>
  <c r="F7" i="2"/>
  <c r="F6" i="2"/>
  <c r="F5" i="2"/>
  <c r="F4" i="2"/>
  <c r="E9" i="2"/>
  <c r="L9" i="2"/>
  <c r="L7" i="2"/>
  <c r="L6" i="2"/>
  <c r="L17" i="2"/>
  <c r="C9" i="2"/>
  <c r="D4" i="2" s="1"/>
  <c r="AI13" i="7"/>
  <c r="AI50" i="7" s="1"/>
  <c r="AI53" i="7"/>
  <c r="AI49" i="7"/>
  <c r="AI48" i="7"/>
  <c r="AI47" i="7"/>
  <c r="AI46" i="7"/>
  <c r="AI43" i="7"/>
  <c r="AI41" i="7"/>
  <c r="AI39" i="7"/>
  <c r="AI31" i="7"/>
  <c r="AI40" i="7"/>
  <c r="AG37" i="7"/>
  <c r="AH37" i="7"/>
  <c r="AI37" i="7"/>
  <c r="AI29" i="7"/>
  <c r="AI28" i="7"/>
  <c r="AI27" i="7"/>
  <c r="AI26" i="7"/>
  <c r="AI23" i="7"/>
  <c r="AI22" i="7"/>
  <c r="AI21" i="7"/>
  <c r="AI19" i="7"/>
  <c r="AH11" i="7"/>
  <c r="AG11" i="7"/>
  <c r="AF11" i="7"/>
  <c r="AE11" i="7"/>
  <c r="AI11" i="7"/>
  <c r="AI10" i="7"/>
  <c r="AI9" i="7"/>
  <c r="AI8" i="7"/>
  <c r="AH8" i="7"/>
  <c r="Q53" i="7"/>
  <c r="P53" i="7"/>
  <c r="O53" i="7"/>
  <c r="N53" i="7"/>
  <c r="M53" i="7"/>
  <c r="L53" i="7"/>
  <c r="K53" i="7"/>
  <c r="J53" i="7"/>
  <c r="I53" i="7"/>
  <c r="H53" i="7"/>
  <c r="G53" i="7"/>
  <c r="R53" i="7"/>
  <c r="R21" i="7"/>
  <c r="R39" i="7"/>
  <c r="N52" i="7"/>
  <c r="M52" i="7"/>
  <c r="L52" i="7"/>
  <c r="K52" i="7"/>
  <c r="J52" i="7"/>
  <c r="I52" i="7"/>
  <c r="H52" i="7"/>
  <c r="G52" i="7"/>
  <c r="P52" i="7"/>
  <c r="O52" i="7"/>
  <c r="P51" i="7"/>
  <c r="O51" i="7"/>
  <c r="Q52" i="7"/>
  <c r="Q51" i="7"/>
  <c r="K50" i="7"/>
  <c r="Q50" i="7"/>
  <c r="P50" i="7"/>
  <c r="O50" i="7"/>
  <c r="R50" i="7"/>
  <c r="Q49" i="7"/>
  <c r="P49" i="7"/>
  <c r="O49" i="7"/>
  <c r="N49" i="7"/>
  <c r="M49" i="7"/>
  <c r="L49" i="7"/>
  <c r="K49" i="7"/>
  <c r="J49" i="7"/>
  <c r="I49" i="7"/>
  <c r="H49" i="7"/>
  <c r="G49" i="7"/>
  <c r="Q48" i="7"/>
  <c r="P48" i="7"/>
  <c r="O48" i="7"/>
  <c r="N48" i="7"/>
  <c r="M48" i="7"/>
  <c r="L48" i="7"/>
  <c r="K48" i="7"/>
  <c r="J48" i="7"/>
  <c r="I48" i="7"/>
  <c r="H48" i="7"/>
  <c r="G48" i="7"/>
  <c r="Q47" i="7"/>
  <c r="P47" i="7"/>
  <c r="O47" i="7"/>
  <c r="N47" i="7"/>
  <c r="M47" i="7"/>
  <c r="L47" i="7"/>
  <c r="K47" i="7"/>
  <c r="J47" i="7"/>
  <c r="I47" i="7"/>
  <c r="H47" i="7"/>
  <c r="G47" i="7"/>
  <c r="R49" i="7"/>
  <c r="R48" i="7"/>
  <c r="R47" i="7"/>
  <c r="R46" i="7"/>
  <c r="P46" i="7"/>
  <c r="O46" i="7"/>
  <c r="N46" i="7"/>
  <c r="M46" i="7"/>
  <c r="L46" i="7"/>
  <c r="K46" i="7"/>
  <c r="J46" i="7"/>
  <c r="I46" i="7"/>
  <c r="H46" i="7"/>
  <c r="G46" i="7"/>
  <c r="Q46" i="7"/>
  <c r="R43" i="7"/>
  <c r="R29" i="7"/>
  <c r="R23" i="7"/>
  <c r="R11" i="7"/>
  <c r="AE61" i="7"/>
  <c r="AD61" i="7"/>
  <c r="AC61" i="7"/>
  <c r="AH60" i="7"/>
  <c r="AG60" i="7"/>
  <c r="AF60" i="7"/>
  <c r="AE60" i="7"/>
  <c r="AD60" i="7"/>
  <c r="AC60" i="7"/>
  <c r="AH59" i="7"/>
  <c r="AG59" i="7"/>
  <c r="AF59" i="7"/>
  <c r="AE59" i="7"/>
  <c r="AD59" i="7"/>
  <c r="AC59" i="7"/>
  <c r="AH58" i="7"/>
  <c r="AG58" i="7"/>
  <c r="AF58" i="7"/>
  <c r="AE58" i="7"/>
  <c r="AD58" i="7"/>
  <c r="AC58" i="7"/>
  <c r="Q37" i="7"/>
  <c r="P37" i="7"/>
  <c r="O37" i="7"/>
  <c r="M37" i="7"/>
  <c r="L37" i="7"/>
  <c r="K37" i="7"/>
  <c r="I37" i="7"/>
  <c r="H37" i="7"/>
  <c r="G37" i="7"/>
  <c r="AE36" i="7"/>
  <c r="J36" i="7"/>
  <c r="N34" i="7"/>
  <c r="N37" i="7" s="1"/>
  <c r="J34" i="7"/>
  <c r="AH29" i="7"/>
  <c r="AG29" i="7"/>
  <c r="AF29" i="7"/>
  <c r="AE29" i="7"/>
  <c r="Q29" i="7"/>
  <c r="P29" i="7"/>
  <c r="O29" i="7"/>
  <c r="N29" i="7"/>
  <c r="M29" i="7"/>
  <c r="L29" i="7"/>
  <c r="K29" i="7"/>
  <c r="I29" i="7"/>
  <c r="H29" i="7"/>
  <c r="G29" i="7"/>
  <c r="J28" i="7"/>
  <c r="J27" i="7"/>
  <c r="J26" i="7"/>
  <c r="AH19" i="7"/>
  <c r="AG19" i="7"/>
  <c r="AF19" i="7"/>
  <c r="Q19" i="7"/>
  <c r="P19" i="7"/>
  <c r="O19" i="7"/>
  <c r="M19" i="7"/>
  <c r="L19" i="7"/>
  <c r="K19" i="7"/>
  <c r="I19" i="7"/>
  <c r="H19" i="7"/>
  <c r="G19" i="7"/>
  <c r="AE18" i="7"/>
  <c r="AE19" i="7" s="1"/>
  <c r="N18" i="7"/>
  <c r="J18" i="7"/>
  <c r="N16" i="7"/>
  <c r="J16" i="7"/>
  <c r="N10" i="7"/>
  <c r="J10" i="7"/>
  <c r="J9" i="7"/>
  <c r="AG8" i="7"/>
  <c r="AF8" i="7"/>
  <c r="AE8" i="7"/>
  <c r="AC8" i="7"/>
  <c r="AB8" i="7"/>
  <c r="AA8" i="7"/>
  <c r="Q8" i="7"/>
  <c r="Q11" i="7" s="1"/>
  <c r="Q21" i="7" s="1"/>
  <c r="Q23" i="7" s="1"/>
  <c r="P8" i="7"/>
  <c r="P11" i="7" s="1"/>
  <c r="P21" i="7" s="1"/>
  <c r="P23" i="7" s="1"/>
  <c r="O8" i="7"/>
  <c r="O11" i="7" s="1"/>
  <c r="O21" i="7" s="1"/>
  <c r="O23" i="7" s="1"/>
  <c r="M8" i="7"/>
  <c r="M11" i="7" s="1"/>
  <c r="M21" i="7" s="1"/>
  <c r="M23" i="7" s="1"/>
  <c r="L8" i="7"/>
  <c r="L11" i="7" s="1"/>
  <c r="L21" i="7" s="1"/>
  <c r="L23" i="7" s="1"/>
  <c r="K8" i="7"/>
  <c r="K11" i="7" s="1"/>
  <c r="K21" i="7" s="1"/>
  <c r="K23" i="7" s="1"/>
  <c r="I8" i="7"/>
  <c r="I11" i="7" s="1"/>
  <c r="I21" i="7" s="1"/>
  <c r="I23" i="7" s="1"/>
  <c r="H8" i="7"/>
  <c r="H11" i="7" s="1"/>
  <c r="H21" i="7" s="1"/>
  <c r="H23" i="7" s="1"/>
  <c r="G8" i="7"/>
  <c r="G11" i="7" s="1"/>
  <c r="AD7" i="7"/>
  <c r="AD8" i="7" s="1"/>
  <c r="N7" i="7"/>
  <c r="J7" i="7"/>
  <c r="N6" i="7"/>
  <c r="J6" i="7"/>
  <c r="N5" i="7"/>
  <c r="J5" i="7"/>
  <c r="J8" i="7" s="1"/>
  <c r="AG3" i="7"/>
  <c r="AH3" i="7" s="1"/>
  <c r="AI3" i="7" s="1"/>
  <c r="AJ3" i="7" s="1"/>
  <c r="AK3" i="7" s="1"/>
  <c r="AL3" i="7" s="1"/>
  <c r="AI22" i="1"/>
  <c r="L4" i="2"/>
  <c r="R89" i="1"/>
  <c r="R87" i="1"/>
  <c r="R75" i="1"/>
  <c r="R74" i="1"/>
  <c r="AZ24" i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H22" i="1"/>
  <c r="R56" i="1"/>
  <c r="R52" i="1"/>
  <c r="R49" i="1"/>
  <c r="R40" i="1"/>
  <c r="R45" i="1"/>
  <c r="R22" i="1"/>
  <c r="R19" i="1"/>
  <c r="R31" i="1" s="1"/>
  <c r="Q52" i="1"/>
  <c r="Q49" i="1"/>
  <c r="K40" i="1"/>
  <c r="L40" i="1"/>
  <c r="M40" i="1"/>
  <c r="N40" i="1"/>
  <c r="P40" i="1"/>
  <c r="O40" i="1"/>
  <c r="Q40" i="1"/>
  <c r="Q45" i="1"/>
  <c r="Q22" i="1"/>
  <c r="Q19" i="1"/>
  <c r="Q31" i="1" s="1"/>
  <c r="Q36" i="1"/>
  <c r="AF108" i="1"/>
  <c r="AE108" i="1"/>
  <c r="AD108" i="1"/>
  <c r="AC108" i="1"/>
  <c r="AB108" i="1"/>
  <c r="AA108" i="1"/>
  <c r="Z108" i="1"/>
  <c r="Y108" i="1"/>
  <c r="D5" i="2" l="1"/>
  <c r="D6" i="2"/>
  <c r="D7" i="2"/>
  <c r="D8" i="2"/>
  <c r="M43" i="7"/>
  <c r="J19" i="7"/>
  <c r="J11" i="7"/>
  <c r="J21" i="7" s="1"/>
  <c r="J23" i="7" s="1"/>
  <c r="G43" i="7"/>
  <c r="O39" i="7"/>
  <c r="O43" i="7" s="1"/>
  <c r="H43" i="7"/>
  <c r="P39" i="7"/>
  <c r="P43" i="7" s="1"/>
  <c r="I43" i="7"/>
  <c r="J29" i="7"/>
  <c r="AH21" i="7"/>
  <c r="N8" i="7"/>
  <c r="N11" i="7" s="1"/>
  <c r="N21" i="7" s="1"/>
  <c r="N23" i="7" s="1"/>
  <c r="K39" i="7"/>
  <c r="K43" i="7" s="1"/>
  <c r="N43" i="7"/>
  <c r="AG61" i="7"/>
  <c r="AG62" i="7" s="1"/>
  <c r="Q39" i="7"/>
  <c r="Q43" i="7" s="1"/>
  <c r="AF61" i="7"/>
  <c r="AF62" i="7" s="1"/>
  <c r="L43" i="7"/>
  <c r="G21" i="7"/>
  <c r="G23" i="7" s="1"/>
  <c r="AH61" i="7"/>
  <c r="AH62" i="7" s="1"/>
  <c r="AC62" i="7"/>
  <c r="AF21" i="7"/>
  <c r="N19" i="7"/>
  <c r="AD62" i="7"/>
  <c r="AG21" i="7"/>
  <c r="J37" i="7"/>
  <c r="J43" i="7" s="1"/>
  <c r="AE62" i="7"/>
  <c r="AE21" i="7"/>
  <c r="R57" i="1"/>
  <c r="R59" i="1" s="1"/>
  <c r="R39" i="1"/>
  <c r="R51" i="1"/>
  <c r="R23" i="1"/>
  <c r="R25" i="1" s="1"/>
  <c r="Q51" i="1"/>
  <c r="Q39" i="1"/>
  <c r="Q57" i="1"/>
  <c r="Q23" i="1"/>
  <c r="P45" i="1"/>
  <c r="P36" i="1"/>
  <c r="P98" i="1"/>
  <c r="P102" i="1"/>
  <c r="P101" i="1"/>
  <c r="P99" i="1"/>
  <c r="P95" i="1"/>
  <c r="P93" i="1"/>
  <c r="P90" i="1"/>
  <c r="P86" i="1"/>
  <c r="P85" i="1"/>
  <c r="P68" i="1"/>
  <c r="P81" i="1"/>
  <c r="P80" i="1"/>
  <c r="P79" i="1"/>
  <c r="P78" i="1"/>
  <c r="P77" i="1"/>
  <c r="P76" i="1"/>
  <c r="P73" i="1"/>
  <c r="P72" i="1"/>
  <c r="P71" i="1"/>
  <c r="P70" i="1"/>
  <c r="P69" i="1"/>
  <c r="P56" i="1"/>
  <c r="P52" i="1"/>
  <c r="N45" i="1"/>
  <c r="P49" i="1"/>
  <c r="P22" i="1"/>
  <c r="P19" i="1"/>
  <c r="AD16" i="1"/>
  <c r="AE16" i="1"/>
  <c r="AF16" i="1"/>
  <c r="AG16" i="1"/>
  <c r="AJ21" i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Q102" i="1" l="1"/>
  <c r="R102" i="1"/>
  <c r="Q101" i="1"/>
  <c r="R101" i="1" s="1"/>
  <c r="Q98" i="1"/>
  <c r="R98" i="1" s="1"/>
  <c r="Q99" i="1"/>
  <c r="R99" i="1" s="1"/>
  <c r="Q90" i="1"/>
  <c r="R90" i="1" s="1"/>
  <c r="Q93" i="1"/>
  <c r="R93" i="1"/>
  <c r="Q95" i="1"/>
  <c r="R95" i="1" s="1"/>
  <c r="Q73" i="1"/>
  <c r="R73" i="1" s="1"/>
  <c r="Q78" i="1"/>
  <c r="R78" i="1"/>
  <c r="Q76" i="1"/>
  <c r="R76" i="1" s="1"/>
  <c r="Q77" i="1"/>
  <c r="R77" i="1" s="1"/>
  <c r="Q79" i="1"/>
  <c r="R79" i="1" s="1"/>
  <c r="Q81" i="1"/>
  <c r="R81" i="1" s="1"/>
  <c r="Q68" i="1"/>
  <c r="R68" i="1" s="1"/>
  <c r="Q72" i="1"/>
  <c r="R72" i="1" s="1"/>
  <c r="Q85" i="1"/>
  <c r="R85" i="1" s="1"/>
  <c r="Q70" i="1"/>
  <c r="R70" i="1" s="1"/>
  <c r="Q86" i="1"/>
  <c r="R86" i="1"/>
  <c r="Q80" i="1"/>
  <c r="Q69" i="1"/>
  <c r="R69" i="1" s="1"/>
  <c r="Q71" i="1"/>
  <c r="R71" i="1" s="1"/>
  <c r="Q58" i="1"/>
  <c r="Q59" i="1" s="1"/>
  <c r="R32" i="1"/>
  <c r="Q25" i="1"/>
  <c r="Q32" i="1"/>
  <c r="P51" i="1"/>
  <c r="P103" i="1"/>
  <c r="P82" i="1"/>
  <c r="P83" i="1" s="1"/>
  <c r="P108" i="1" s="1"/>
  <c r="P57" i="1"/>
  <c r="P23" i="1"/>
  <c r="P25" i="1" s="1"/>
  <c r="P39" i="1"/>
  <c r="P31" i="1"/>
  <c r="Q82" i="1" l="1"/>
  <c r="Q83" i="1" s="1"/>
  <c r="R103" i="1"/>
  <c r="Q103" i="1"/>
  <c r="R80" i="1"/>
  <c r="R82" i="1" s="1"/>
  <c r="R83" i="1" s="1"/>
  <c r="R27" i="1"/>
  <c r="R67" i="1" s="1"/>
  <c r="R34" i="1"/>
  <c r="Q108" i="1"/>
  <c r="Q27" i="1"/>
  <c r="Q34" i="1"/>
  <c r="P58" i="1"/>
  <c r="P59" i="1" s="1"/>
  <c r="P32" i="1"/>
  <c r="P34" i="1"/>
  <c r="P27" i="1"/>
  <c r="P67" i="1" s="1"/>
  <c r="AB7" i="1"/>
  <c r="AB6" i="1"/>
  <c r="AB5" i="1"/>
  <c r="R108" i="1" l="1"/>
  <c r="R28" i="1"/>
  <c r="R33" i="1"/>
  <c r="Q33" i="1"/>
  <c r="Q28" i="1"/>
  <c r="Q67" i="1"/>
  <c r="P33" i="1"/>
  <c r="P28" i="1"/>
  <c r="AJ20" i="1"/>
  <c r="AJ22" i="1" s="1"/>
  <c r="AK20" i="1" l="1"/>
  <c r="AC7" i="1"/>
  <c r="AD7" i="1"/>
  <c r="AC6" i="1"/>
  <c r="AD6" i="1"/>
  <c r="AD5" i="1"/>
  <c r="AC5" i="1"/>
  <c r="AB8" i="1"/>
  <c r="AC8" i="1"/>
  <c r="AD8" i="1"/>
  <c r="AE7" i="1"/>
  <c r="AE6" i="1"/>
  <c r="AE5" i="1"/>
  <c r="AF7" i="1"/>
  <c r="AF6" i="1"/>
  <c r="AF5" i="1"/>
  <c r="AG7" i="1"/>
  <c r="AG6" i="1"/>
  <c r="AG5" i="1"/>
  <c r="L9" i="4"/>
  <c r="K9" i="4"/>
  <c r="C9" i="4"/>
  <c r="D9" i="4"/>
  <c r="J9" i="4"/>
  <c r="I9" i="4"/>
  <c r="H9" i="4"/>
  <c r="G9" i="4"/>
  <c r="F9" i="4"/>
  <c r="E9" i="4"/>
  <c r="F3" i="4"/>
  <c r="G3" i="4" s="1"/>
  <c r="H3" i="4" s="1"/>
  <c r="I3" i="4" s="1"/>
  <c r="J3" i="4" s="1"/>
  <c r="K3" i="4" s="1"/>
  <c r="L3" i="4" s="1"/>
  <c r="M3" i="4" s="1"/>
  <c r="X22" i="1"/>
  <c r="X19" i="1"/>
  <c r="X31" i="1" s="1"/>
  <c r="Y36" i="1"/>
  <c r="Y22" i="1"/>
  <c r="Y19" i="1"/>
  <c r="Y31" i="1" s="1"/>
  <c r="Z36" i="1"/>
  <c r="Z22" i="1"/>
  <c r="Z19" i="1"/>
  <c r="Z31" i="1" s="1"/>
  <c r="AA36" i="1"/>
  <c r="AA22" i="1"/>
  <c r="AA19" i="1"/>
  <c r="AA31" i="1" s="1"/>
  <c r="AB36" i="1"/>
  <c r="AB22" i="1"/>
  <c r="AB19" i="1"/>
  <c r="AB31" i="1" s="1"/>
  <c r="AD36" i="1"/>
  <c r="AC36" i="1"/>
  <c r="AG22" i="1"/>
  <c r="AF22" i="1"/>
  <c r="AE22" i="1"/>
  <c r="AD22" i="1"/>
  <c r="AC22" i="1"/>
  <c r="AC19" i="1"/>
  <c r="AC31" i="1" s="1"/>
  <c r="L81" i="1"/>
  <c r="L80" i="1"/>
  <c r="L79" i="1"/>
  <c r="L78" i="1"/>
  <c r="M78" i="1" s="1"/>
  <c r="N78" i="1" s="1"/>
  <c r="L77" i="1"/>
  <c r="M77" i="1" s="1"/>
  <c r="N77" i="1" s="1"/>
  <c r="L76" i="1"/>
  <c r="M76" i="1" s="1"/>
  <c r="N76" i="1" s="1"/>
  <c r="K82" i="1"/>
  <c r="K83" i="1" s="1"/>
  <c r="O88" i="1"/>
  <c r="O82" i="1"/>
  <c r="O83" i="1" s="1"/>
  <c r="O108" i="1" s="1"/>
  <c r="O52" i="1"/>
  <c r="O56" i="1"/>
  <c r="O49" i="1"/>
  <c r="O24" i="1"/>
  <c r="O36" i="1"/>
  <c r="O22" i="1"/>
  <c r="O19" i="1"/>
  <c r="N17" i="1"/>
  <c r="C10" i="3"/>
  <c r="E10" i="3"/>
  <c r="D10" i="3"/>
  <c r="F10" i="3"/>
  <c r="L5" i="2"/>
  <c r="L99" i="1"/>
  <c r="M99" i="1" s="1"/>
  <c r="L98" i="1"/>
  <c r="M98" i="1" s="1"/>
  <c r="L96" i="1"/>
  <c r="L95" i="1"/>
  <c r="M95" i="1" s="1"/>
  <c r="L94" i="1"/>
  <c r="M94" i="1" s="1"/>
  <c r="L93" i="1"/>
  <c r="M93" i="1" s="1"/>
  <c r="L102" i="1"/>
  <c r="M102" i="1" s="1"/>
  <c r="L101" i="1"/>
  <c r="M101" i="1" s="1"/>
  <c r="L90" i="1"/>
  <c r="M90" i="1" s="1"/>
  <c r="L89" i="1"/>
  <c r="M89" i="1" s="1"/>
  <c r="L85" i="1"/>
  <c r="L73" i="1"/>
  <c r="L72" i="1"/>
  <c r="M72" i="1" s="1"/>
  <c r="L71" i="1"/>
  <c r="M71" i="1" s="1"/>
  <c r="L70" i="1"/>
  <c r="M70" i="1" s="1"/>
  <c r="L69" i="1"/>
  <c r="M69" i="1" s="1"/>
  <c r="L68" i="1"/>
  <c r="M68" i="1" s="1"/>
  <c r="N68" i="1" s="1"/>
  <c r="K103" i="1"/>
  <c r="K88" i="1"/>
  <c r="L88" i="1" s="1"/>
  <c r="M88" i="1" s="1"/>
  <c r="K24" i="1"/>
  <c r="N56" i="1"/>
  <c r="N52" i="1"/>
  <c r="N49" i="1"/>
  <c r="M56" i="1"/>
  <c r="M52" i="1"/>
  <c r="M49" i="1"/>
  <c r="L56" i="1"/>
  <c r="L52" i="1"/>
  <c r="L49" i="1"/>
  <c r="K56" i="1"/>
  <c r="K55" i="1"/>
  <c r="K52" i="1"/>
  <c r="K49" i="1"/>
  <c r="AE36" i="1"/>
  <c r="AD24" i="1"/>
  <c r="AD19" i="1"/>
  <c r="I36" i="1"/>
  <c r="H36" i="1"/>
  <c r="G36" i="1"/>
  <c r="F29" i="1"/>
  <c r="F26" i="1"/>
  <c r="F21" i="1"/>
  <c r="F20" i="1"/>
  <c r="F18" i="1"/>
  <c r="F17" i="1"/>
  <c r="C24" i="1"/>
  <c r="C22" i="1"/>
  <c r="C19" i="1"/>
  <c r="C31" i="1" s="1"/>
  <c r="D24" i="1"/>
  <c r="D22" i="1"/>
  <c r="D19" i="1"/>
  <c r="D31" i="1" s="1"/>
  <c r="E24" i="1"/>
  <c r="E22" i="1"/>
  <c r="E19" i="1"/>
  <c r="E31" i="1" s="1"/>
  <c r="AE24" i="1"/>
  <c r="AF36" i="1"/>
  <c r="AG36" i="1"/>
  <c r="N26" i="1"/>
  <c r="N20" i="1"/>
  <c r="N21" i="1"/>
  <c r="J29" i="1"/>
  <c r="J26" i="1"/>
  <c r="J21" i="1"/>
  <c r="J20" i="1"/>
  <c r="J18" i="1"/>
  <c r="J17" i="1"/>
  <c r="L36" i="1"/>
  <c r="K36" i="1"/>
  <c r="N18" i="1"/>
  <c r="H24" i="1"/>
  <c r="H22" i="1"/>
  <c r="H19" i="1"/>
  <c r="H31" i="1" s="1"/>
  <c r="L24" i="1"/>
  <c r="L22" i="1"/>
  <c r="L19" i="1"/>
  <c r="K19" i="1"/>
  <c r="K31" i="1" s="1"/>
  <c r="K22" i="1"/>
  <c r="G24" i="1"/>
  <c r="G22" i="1"/>
  <c r="G19" i="1"/>
  <c r="G31" i="1" s="1"/>
  <c r="M36" i="1"/>
  <c r="I24" i="1"/>
  <c r="I22" i="1"/>
  <c r="I19" i="1"/>
  <c r="I31" i="1" s="1"/>
  <c r="M24" i="1"/>
  <c r="M22" i="1"/>
  <c r="M19" i="1"/>
  <c r="AE19" i="1"/>
  <c r="AG24" i="1"/>
  <c r="AG19" i="1"/>
  <c r="AF24" i="1"/>
  <c r="AF19" i="1"/>
  <c r="AF3" i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H108" i="1" l="1"/>
  <c r="R109" i="1"/>
  <c r="AH17" i="1"/>
  <c r="R36" i="1"/>
  <c r="AG23" i="1"/>
  <c r="P88" i="1"/>
  <c r="P91" i="1" s="1"/>
  <c r="P105" i="1" s="1"/>
  <c r="M85" i="1"/>
  <c r="L51" i="1"/>
  <c r="K51" i="1"/>
  <c r="O51" i="1"/>
  <c r="M51" i="1"/>
  <c r="N51" i="1"/>
  <c r="AL20" i="1"/>
  <c r="AK22" i="1"/>
  <c r="O31" i="1"/>
  <c r="O23" i="1"/>
  <c r="N36" i="1"/>
  <c r="AG8" i="1"/>
  <c r="L8" i="2"/>
  <c r="L10" i="2" s="1"/>
  <c r="M96" i="1"/>
  <c r="AE8" i="1"/>
  <c r="AF8" i="1"/>
  <c r="X23" i="1"/>
  <c r="X32" i="1" s="1"/>
  <c r="Y23" i="1"/>
  <c r="Z23" i="1"/>
  <c r="AA23" i="1"/>
  <c r="AB23" i="1"/>
  <c r="AC23" i="1"/>
  <c r="AC25" i="1" s="1"/>
  <c r="L82" i="1"/>
  <c r="L83" i="1" s="1"/>
  <c r="M79" i="1"/>
  <c r="N79" i="1" s="1"/>
  <c r="M80" i="1"/>
  <c r="N80" i="1" s="1"/>
  <c r="M81" i="1"/>
  <c r="N81" i="1" s="1"/>
  <c r="O39" i="1"/>
  <c r="AG39" i="1" s="1"/>
  <c r="O57" i="1"/>
  <c r="N90" i="1"/>
  <c r="M23" i="1"/>
  <c r="M25" i="1" s="1"/>
  <c r="N93" i="1"/>
  <c r="F22" i="1"/>
  <c r="N98" i="1"/>
  <c r="N99" i="1"/>
  <c r="N101" i="1"/>
  <c r="F19" i="1"/>
  <c r="F31" i="1" s="1"/>
  <c r="N102" i="1"/>
  <c r="N94" i="1"/>
  <c r="N95" i="1"/>
  <c r="N24" i="1"/>
  <c r="M73" i="1"/>
  <c r="J24" i="1"/>
  <c r="M31" i="1"/>
  <c r="N88" i="1"/>
  <c r="N89" i="1"/>
  <c r="N69" i="1"/>
  <c r="K91" i="1"/>
  <c r="N70" i="1"/>
  <c r="N71" i="1"/>
  <c r="J22" i="1"/>
  <c r="F24" i="1"/>
  <c r="N72" i="1"/>
  <c r="K108" i="1"/>
  <c r="K57" i="1"/>
  <c r="N57" i="1"/>
  <c r="L103" i="1"/>
  <c r="L91" i="1"/>
  <c r="K23" i="1"/>
  <c r="K32" i="1" s="1"/>
  <c r="K39" i="1"/>
  <c r="N19" i="1"/>
  <c r="N31" i="1" s="1"/>
  <c r="AF23" i="1"/>
  <c r="E5" i="3" s="1"/>
  <c r="E7" i="3" s="1"/>
  <c r="E11" i="3" s="1"/>
  <c r="AG31" i="1"/>
  <c r="AF31" i="1"/>
  <c r="N39" i="1"/>
  <c r="M57" i="1"/>
  <c r="M39" i="1"/>
  <c r="L57" i="1"/>
  <c r="L39" i="1"/>
  <c r="AD23" i="1"/>
  <c r="AD31" i="1"/>
  <c r="C23" i="1"/>
  <c r="D23" i="1"/>
  <c r="D32" i="1" s="1"/>
  <c r="E23" i="1"/>
  <c r="AE23" i="1"/>
  <c r="AE31" i="1"/>
  <c r="N22" i="1"/>
  <c r="J19" i="1"/>
  <c r="J36" i="1"/>
  <c r="H23" i="1"/>
  <c r="L23" i="1"/>
  <c r="L32" i="1" s="1"/>
  <c r="L31" i="1"/>
  <c r="G23" i="1"/>
  <c r="I23" i="1"/>
  <c r="Q88" i="1" l="1"/>
  <c r="R88" i="1" s="1"/>
  <c r="R91" i="1" s="1"/>
  <c r="R105" i="1" s="1"/>
  <c r="R106" i="1" s="1"/>
  <c r="N85" i="1"/>
  <c r="AG85" i="1" s="1"/>
  <c r="M91" i="1"/>
  <c r="N96" i="1"/>
  <c r="O96" i="1" s="1"/>
  <c r="O103" i="1" s="1"/>
  <c r="AM20" i="1"/>
  <c r="AL22" i="1"/>
  <c r="M27" i="1"/>
  <c r="M34" i="1"/>
  <c r="AH36" i="1"/>
  <c r="AI17" i="1"/>
  <c r="AH19" i="1"/>
  <c r="AH23" i="1" s="1"/>
  <c r="M103" i="1"/>
  <c r="X25" i="1"/>
  <c r="X34" i="1" s="1"/>
  <c r="Y32" i="1"/>
  <c r="Y25" i="1"/>
  <c r="Z32" i="1"/>
  <c r="Z25" i="1"/>
  <c r="AA32" i="1"/>
  <c r="AA25" i="1"/>
  <c r="AB32" i="1"/>
  <c r="AB25" i="1"/>
  <c r="AC32" i="1"/>
  <c r="M82" i="1"/>
  <c r="M83" i="1" s="1"/>
  <c r="O58" i="1"/>
  <c r="O91" i="1"/>
  <c r="AE25" i="1"/>
  <c r="D5" i="3"/>
  <c r="D7" i="3" s="1"/>
  <c r="AG25" i="1"/>
  <c r="F5" i="3"/>
  <c r="F7" i="3" s="1"/>
  <c r="AD32" i="1"/>
  <c r="C5" i="3"/>
  <c r="C7" i="3" s="1"/>
  <c r="N73" i="1"/>
  <c r="E12" i="3"/>
  <c r="O32" i="1"/>
  <c r="O25" i="1"/>
  <c r="AG32" i="1"/>
  <c r="N91" i="1"/>
  <c r="M32" i="1"/>
  <c r="K58" i="1"/>
  <c r="F23" i="1"/>
  <c r="F32" i="1" s="1"/>
  <c r="M58" i="1"/>
  <c r="L25" i="1"/>
  <c r="N23" i="1"/>
  <c r="N25" i="1" s="1"/>
  <c r="K105" i="1"/>
  <c r="AD25" i="1"/>
  <c r="L58" i="1"/>
  <c r="N58" i="1"/>
  <c r="AF25" i="1"/>
  <c r="AF32" i="1"/>
  <c r="K25" i="1"/>
  <c r="I25" i="1"/>
  <c r="I32" i="1"/>
  <c r="C32" i="1"/>
  <c r="C25" i="1"/>
  <c r="D25" i="1"/>
  <c r="E32" i="1"/>
  <c r="E25" i="1"/>
  <c r="AE32" i="1"/>
  <c r="J23" i="1"/>
  <c r="J31" i="1"/>
  <c r="H32" i="1"/>
  <c r="H25" i="1"/>
  <c r="G32" i="1"/>
  <c r="G25" i="1"/>
  <c r="Q91" i="1" l="1"/>
  <c r="Q105" i="1" s="1"/>
  <c r="N103" i="1"/>
  <c r="O59" i="1"/>
  <c r="M59" i="1"/>
  <c r="L59" i="1"/>
  <c r="K59" i="1"/>
  <c r="N59" i="1"/>
  <c r="M67" i="1"/>
  <c r="M28" i="1"/>
  <c r="M33" i="1"/>
  <c r="AN20" i="1"/>
  <c r="AM22" i="1"/>
  <c r="N27" i="1"/>
  <c r="N34" i="1"/>
  <c r="I27" i="1"/>
  <c r="I28" i="1" s="1"/>
  <c r="I34" i="1"/>
  <c r="AH31" i="1"/>
  <c r="AJ17" i="1"/>
  <c r="AI36" i="1"/>
  <c r="AI19" i="1"/>
  <c r="L27" i="1"/>
  <c r="L33" i="1" s="1"/>
  <c r="L34" i="1"/>
  <c r="K27" i="1"/>
  <c r="K28" i="1" s="1"/>
  <c r="K34" i="1"/>
  <c r="H27" i="1"/>
  <c r="H28" i="1" s="1"/>
  <c r="H34" i="1"/>
  <c r="O27" i="1"/>
  <c r="O34" i="1"/>
  <c r="X27" i="1"/>
  <c r="X33" i="1" s="1"/>
  <c r="Y34" i="1"/>
  <c r="Y27" i="1"/>
  <c r="Y109" i="1" s="1"/>
  <c r="Z34" i="1"/>
  <c r="Z27" i="1"/>
  <c r="Z109" i="1" s="1"/>
  <c r="AA34" i="1"/>
  <c r="AA27" i="1"/>
  <c r="AA109" i="1" s="1"/>
  <c r="AB27" i="1"/>
  <c r="AB109" i="1" s="1"/>
  <c r="AB34" i="1"/>
  <c r="AC27" i="1"/>
  <c r="AC109" i="1" s="1"/>
  <c r="AC34" i="1"/>
  <c r="AF27" i="1"/>
  <c r="AF34" i="1"/>
  <c r="AG27" i="1"/>
  <c r="AG34" i="1"/>
  <c r="D11" i="3"/>
  <c r="D12" i="3" s="1"/>
  <c r="AE27" i="1"/>
  <c r="AE109" i="1" s="1"/>
  <c r="AE34" i="1"/>
  <c r="C11" i="3"/>
  <c r="C12" i="3" s="1"/>
  <c r="F11" i="3"/>
  <c r="F12" i="3" s="1"/>
  <c r="AD27" i="1"/>
  <c r="AD34" i="1"/>
  <c r="F25" i="1"/>
  <c r="N32" i="1"/>
  <c r="N82" i="1"/>
  <c r="M108" i="1"/>
  <c r="L108" i="1"/>
  <c r="L105" i="1"/>
  <c r="M105" i="1"/>
  <c r="E27" i="1"/>
  <c r="E33" i="1" s="1"/>
  <c r="E34" i="1"/>
  <c r="C34" i="1"/>
  <c r="C27" i="1"/>
  <c r="C28" i="1" s="1"/>
  <c r="D27" i="1"/>
  <c r="D34" i="1"/>
  <c r="J25" i="1"/>
  <c r="J32" i="1"/>
  <c r="G34" i="1"/>
  <c r="G27" i="1"/>
  <c r="O67" i="1" l="1"/>
  <c r="R61" i="1"/>
  <c r="Q61" i="1"/>
  <c r="Q65" i="1" s="1"/>
  <c r="N67" i="1"/>
  <c r="AF28" i="1"/>
  <c r="AF109" i="1"/>
  <c r="AD28" i="1"/>
  <c r="AD109" i="1"/>
  <c r="P61" i="1"/>
  <c r="I33" i="1"/>
  <c r="N28" i="1"/>
  <c r="H33" i="1"/>
  <c r="O28" i="1"/>
  <c r="O33" i="1"/>
  <c r="N33" i="1"/>
  <c r="L67" i="1"/>
  <c r="AO20" i="1"/>
  <c r="AN22" i="1"/>
  <c r="N61" i="1"/>
  <c r="N63" i="1" s="1"/>
  <c r="AK17" i="1"/>
  <c r="AJ36" i="1"/>
  <c r="AJ19" i="1"/>
  <c r="AI23" i="1"/>
  <c r="AI32" i="1" s="1"/>
  <c r="AI31" i="1"/>
  <c r="O61" i="1"/>
  <c r="O65" i="1" s="1"/>
  <c r="K67" i="1"/>
  <c r="AH25" i="1"/>
  <c r="AH32" i="1"/>
  <c r="L28" i="1"/>
  <c r="K33" i="1"/>
  <c r="J27" i="1"/>
  <c r="M61" i="1" s="1"/>
  <c r="M62" i="1" s="1"/>
  <c r="J34" i="1"/>
  <c r="X28" i="1"/>
  <c r="Y33" i="1"/>
  <c r="Y28" i="1"/>
  <c r="Z33" i="1"/>
  <c r="Z28" i="1"/>
  <c r="AA33" i="1"/>
  <c r="AA28" i="1"/>
  <c r="AB28" i="1"/>
  <c r="AB33" i="1"/>
  <c r="AC28" i="1"/>
  <c r="AC33" i="1"/>
  <c r="AF33" i="1"/>
  <c r="AD33" i="1"/>
  <c r="N83" i="1"/>
  <c r="AG83" i="1" s="1"/>
  <c r="AE28" i="1"/>
  <c r="AE33" i="1"/>
  <c r="AG28" i="1"/>
  <c r="AG33" i="1"/>
  <c r="F27" i="1"/>
  <c r="F34" i="1"/>
  <c r="E28" i="1"/>
  <c r="C33" i="1"/>
  <c r="D33" i="1"/>
  <c r="D28" i="1"/>
  <c r="G33" i="1"/>
  <c r="G28" i="1"/>
  <c r="AH27" i="1" l="1"/>
  <c r="AH33" i="1" s="1"/>
  <c r="AH34" i="1"/>
  <c r="R63" i="1"/>
  <c r="R64" i="1"/>
  <c r="R65" i="1"/>
  <c r="R62" i="1"/>
  <c r="Q62" i="1"/>
  <c r="Q63" i="1"/>
  <c r="Q64" i="1"/>
  <c r="AG108" i="1"/>
  <c r="AG109" i="1" s="1"/>
  <c r="P65" i="1"/>
  <c r="P64" i="1"/>
  <c r="P63" i="1"/>
  <c r="P62" i="1"/>
  <c r="M64" i="1"/>
  <c r="M65" i="1"/>
  <c r="M63" i="1"/>
  <c r="K61" i="1"/>
  <c r="K65" i="1" s="1"/>
  <c r="J33" i="1"/>
  <c r="N64" i="1"/>
  <c r="J28" i="1"/>
  <c r="N62" i="1"/>
  <c r="N65" i="1"/>
  <c r="O64" i="1"/>
  <c r="AP20" i="1"/>
  <c r="AO22" i="1"/>
  <c r="L61" i="1"/>
  <c r="L63" i="1" s="1"/>
  <c r="AJ31" i="1"/>
  <c r="AJ23" i="1"/>
  <c r="AJ32" i="1" s="1"/>
  <c r="O63" i="1"/>
  <c r="AL17" i="1"/>
  <c r="AK36" i="1"/>
  <c r="AK19" i="1"/>
  <c r="O62" i="1"/>
  <c r="N105" i="1"/>
  <c r="N108" i="1"/>
  <c r="O105" i="1"/>
  <c r="F33" i="1"/>
  <c r="F28" i="1"/>
  <c r="AH39" i="1" l="1"/>
  <c r="AZ21" i="1" s="1"/>
  <c r="AH28" i="1"/>
  <c r="Q109" i="1"/>
  <c r="O109" i="1"/>
  <c r="N109" i="1"/>
  <c r="P109" i="1"/>
  <c r="K62" i="1"/>
  <c r="K64" i="1"/>
  <c r="K63" i="1"/>
  <c r="L65" i="1"/>
  <c r="L64" i="1"/>
  <c r="L62" i="1"/>
  <c r="AQ20" i="1"/>
  <c r="AP22" i="1"/>
  <c r="AK31" i="1"/>
  <c r="AK23" i="1"/>
  <c r="AK32" i="1" s="1"/>
  <c r="AM17" i="1"/>
  <c r="AL36" i="1"/>
  <c r="AL19" i="1"/>
  <c r="AI24" i="1" l="1"/>
  <c r="AI25" i="1" s="1"/>
  <c r="AI26" i="1"/>
  <c r="AI34" i="1" s="1"/>
  <c r="AR20" i="1"/>
  <c r="AQ22" i="1"/>
  <c r="AN17" i="1"/>
  <c r="AM36" i="1"/>
  <c r="AM19" i="1"/>
  <c r="AL31" i="1"/>
  <c r="AL23" i="1"/>
  <c r="AL32" i="1" s="1"/>
  <c r="AI27" i="1" l="1"/>
  <c r="AR22" i="1"/>
  <c r="AS20" i="1"/>
  <c r="AM31" i="1"/>
  <c r="AM23" i="1"/>
  <c r="AM32" i="1" s="1"/>
  <c r="AO17" i="1"/>
  <c r="AN36" i="1"/>
  <c r="AN19" i="1"/>
  <c r="AI39" i="1" l="1"/>
  <c r="AI33" i="1"/>
  <c r="AI28" i="1"/>
  <c r="AT20" i="1"/>
  <c r="AS22" i="1"/>
  <c r="AP17" i="1"/>
  <c r="AO36" i="1"/>
  <c r="AO19" i="1"/>
  <c r="AN31" i="1"/>
  <c r="AN23" i="1"/>
  <c r="AN32" i="1" s="1"/>
  <c r="AJ24" i="1" l="1"/>
  <c r="AJ25" i="1" s="1"/>
  <c r="AU20" i="1"/>
  <c r="AT22" i="1"/>
  <c r="AO31" i="1"/>
  <c r="AO23" i="1"/>
  <c r="AO32" i="1" s="1"/>
  <c r="AQ17" i="1"/>
  <c r="AP36" i="1"/>
  <c r="AP19" i="1"/>
  <c r="AJ26" i="1" l="1"/>
  <c r="AJ34" i="1" s="1"/>
  <c r="AV20" i="1"/>
  <c r="AU22" i="1"/>
  <c r="AP23" i="1"/>
  <c r="AP32" i="1" s="1"/>
  <c r="AP31" i="1"/>
  <c r="AR17" i="1"/>
  <c r="AS17" i="1" s="1"/>
  <c r="AQ36" i="1"/>
  <c r="AQ19" i="1"/>
  <c r="AJ27" i="1" l="1"/>
  <c r="AJ33" i="1" s="1"/>
  <c r="AT17" i="1"/>
  <c r="AS36" i="1"/>
  <c r="AS19" i="1"/>
  <c r="AW20" i="1"/>
  <c r="AW22" i="1" s="1"/>
  <c r="AV22" i="1"/>
  <c r="AQ31" i="1"/>
  <c r="AQ23" i="1"/>
  <c r="AQ32" i="1" s="1"/>
  <c r="AR36" i="1"/>
  <c r="AR19" i="1"/>
  <c r="AJ39" i="1" l="1"/>
  <c r="AK24" i="1" s="1"/>
  <c r="AK25" i="1" s="1"/>
  <c r="AK26" i="1" s="1"/>
  <c r="AK34" i="1" s="1"/>
  <c r="AJ28" i="1"/>
  <c r="AS31" i="1"/>
  <c r="AS23" i="1"/>
  <c r="AU17" i="1"/>
  <c r="AT36" i="1"/>
  <c r="AT19" i="1"/>
  <c r="AR31" i="1"/>
  <c r="AR23" i="1"/>
  <c r="AR32" i="1" s="1"/>
  <c r="AK27" i="1" l="1"/>
  <c r="AV17" i="1"/>
  <c r="AU36" i="1"/>
  <c r="AU19" i="1"/>
  <c r="AT31" i="1"/>
  <c r="AT23" i="1"/>
  <c r="AS32" i="1"/>
  <c r="AK39" i="1" l="1"/>
  <c r="AL24" i="1" s="1"/>
  <c r="AL25" i="1" s="1"/>
  <c r="AK28" i="1"/>
  <c r="AK33" i="1"/>
  <c r="AU31" i="1"/>
  <c r="AU23" i="1"/>
  <c r="AT32" i="1"/>
  <c r="AW17" i="1"/>
  <c r="AV36" i="1"/>
  <c r="AV19" i="1"/>
  <c r="AL26" i="1" l="1"/>
  <c r="AL34" i="1" s="1"/>
  <c r="AV31" i="1"/>
  <c r="AV23" i="1"/>
  <c r="AW36" i="1"/>
  <c r="AW19" i="1"/>
  <c r="AU32" i="1"/>
  <c r="AL27" i="1" l="1"/>
  <c r="AL33" i="1" s="1"/>
  <c r="AW31" i="1"/>
  <c r="AW23" i="1"/>
  <c r="AV32" i="1"/>
  <c r="AL39" i="1" l="1"/>
  <c r="AM24" i="1" s="1"/>
  <c r="AM25" i="1" s="1"/>
  <c r="AL28" i="1"/>
  <c r="AW32" i="1"/>
  <c r="AM26" i="1" l="1"/>
  <c r="AM34" i="1" s="1"/>
  <c r="AM27" i="1" l="1"/>
  <c r="AM39" i="1" s="1"/>
  <c r="AN24" i="1" s="1"/>
  <c r="AN25" i="1" s="1"/>
  <c r="AN26" i="1" s="1"/>
  <c r="AN34" i="1" s="1"/>
  <c r="AM33" i="1" l="1"/>
  <c r="AN27" i="1"/>
  <c r="AM28" i="1"/>
  <c r="AN33" i="1" l="1"/>
  <c r="AN28" i="1"/>
  <c r="AN39" i="1"/>
  <c r="AO24" i="1" s="1"/>
  <c r="AO25" i="1" s="1"/>
  <c r="AO26" i="1" s="1"/>
  <c r="AO34" i="1" l="1"/>
  <c r="AO27" i="1"/>
  <c r="AO28" i="1" s="1"/>
  <c r="AO39" i="1"/>
  <c r="AO33" i="1"/>
  <c r="AP24" i="1" l="1"/>
  <c r="AP25" i="1" s="1"/>
  <c r="AP26" i="1" l="1"/>
  <c r="AP34" i="1" s="1"/>
  <c r="AP27" i="1"/>
  <c r="AP39" i="1" l="1"/>
  <c r="AP28" i="1"/>
  <c r="AP33" i="1"/>
  <c r="AQ24" i="1" l="1"/>
  <c r="AQ25" i="1" s="1"/>
  <c r="AQ26" i="1" l="1"/>
  <c r="AQ34" i="1" s="1"/>
  <c r="AQ27" i="1"/>
  <c r="AQ33" i="1" l="1"/>
  <c r="AQ28" i="1"/>
  <c r="AQ39" i="1"/>
  <c r="AR24" i="1" l="1"/>
  <c r="AR25" i="1" s="1"/>
  <c r="AR26" i="1" l="1"/>
  <c r="AR34" i="1" s="1"/>
  <c r="AR27" i="1" l="1"/>
  <c r="AR33" i="1" s="1"/>
  <c r="AR28" i="1" l="1"/>
  <c r="AR39" i="1"/>
  <c r="AS24" i="1" s="1"/>
  <c r="AS25" i="1" s="1"/>
  <c r="AS26" i="1" l="1"/>
  <c r="AS34" i="1" s="1"/>
  <c r="AS27" i="1" l="1"/>
  <c r="AS28" i="1" s="1"/>
  <c r="AS39" i="1" l="1"/>
  <c r="AT24" i="1" s="1"/>
  <c r="AT25" i="1" s="1"/>
  <c r="AS33" i="1"/>
  <c r="AT26" i="1" l="1"/>
  <c r="AT34" i="1" s="1"/>
  <c r="AT27" i="1" l="1"/>
  <c r="AT33" i="1" s="1"/>
  <c r="AT28" i="1" l="1"/>
  <c r="AT39" i="1"/>
  <c r="AU24" i="1"/>
  <c r="AU25" i="1" s="1"/>
  <c r="AU26" i="1" l="1"/>
  <c r="AU34" i="1" s="1"/>
  <c r="AU27" i="1" l="1"/>
  <c r="AU33" i="1" s="1"/>
  <c r="AU39" i="1" l="1"/>
  <c r="AU28" i="1"/>
  <c r="AV24" i="1"/>
  <c r="AV25" i="1" s="1"/>
  <c r="AV26" i="1" l="1"/>
  <c r="AV34" i="1" s="1"/>
  <c r="AV27" i="1" l="1"/>
  <c r="AV33" i="1" l="1"/>
  <c r="AV28" i="1"/>
  <c r="AV39" i="1"/>
  <c r="AW24" i="1" l="1"/>
  <c r="AW25" i="1" s="1"/>
  <c r="AW26" i="1" l="1"/>
  <c r="AW34" i="1" s="1"/>
  <c r="AW27" i="1" l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AW33" i="1" l="1"/>
  <c r="AW28" i="1"/>
  <c r="AW39" i="1"/>
  <c r="AZ20" i="1" l="1"/>
  <c r="AZ22" i="1" s="1"/>
  <c r="AZ23" i="1" s="1"/>
  <c r="AZ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S17" authorId="0" shapeId="0" xr:uid="{A3D32178-8587-412C-9668-6BB8B397F6E6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$11.7 - $12.7 billion</t>
        </r>
      </text>
    </comment>
    <comment ref="AI22" authorId="0" shapeId="0" xr:uid="{8C988B06-DBF2-4BB3-A310-66026C9796A1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R&amp;D and SG&amp;A $20 billion</t>
        </r>
      </text>
    </comment>
    <comment ref="AI86" authorId="0" shapeId="0" xr:uid="{F45B4B7F-FD63-488A-97EE-01C7C7393E36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($4.0 - $6.0 billion)</t>
        </r>
      </text>
    </comment>
    <comment ref="AI95" authorId="0" shapeId="0" xr:uid="{F2D30191-3B2E-4021-86C1-8E263AB9DD02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($4.0 - $5.0 billion)</t>
        </r>
      </text>
    </comment>
  </commentList>
</comments>
</file>

<file path=xl/sharedStrings.xml><?xml version="1.0" encoding="utf-8"?>
<sst xmlns="http://schemas.openxmlformats.org/spreadsheetml/2006/main" count="277" uniqueCount="203">
  <si>
    <t>(in millions)</t>
  </si>
  <si>
    <t>(INTC)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</si>
  <si>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</si>
  <si>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</si>
  <si>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</si>
  <si>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</si>
  <si>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</si>
  <si>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</si>
  <si>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</si>
  <si>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</si>
  <si>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</si>
  <si>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</si>
  <si>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</si>
  <si>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</si>
  <si>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</si>
  <si>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</si>
  <si>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</si>
  <si>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</si>
  <si>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</si>
  <si>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</si>
  <si>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</si>
  <si>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</si>
  <si>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</si>
  <si>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</si>
  <si>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</si>
  <si>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Other</t>
  </si>
  <si>
    <t>Pretax income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</si>
  <si>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</si>
  <si>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</si>
  <si>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</si>
  <si>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</si>
  <si>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</si>
  <si>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</si>
  <si>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</si>
  <si>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Taxe rate</t>
  </si>
  <si>
    <t>Revenue y/y</t>
  </si>
  <si>
    <t>Net cash</t>
  </si>
  <si>
    <t>Cash</t>
  </si>
  <si>
    <t>A/R</t>
  </si>
  <si>
    <t>Inventories</t>
  </si>
  <si>
    <t>Total assets</t>
  </si>
  <si>
    <t>PP&amp;E</t>
  </si>
  <si>
    <t>Goodwill</t>
  </si>
  <si>
    <t>OCA</t>
  </si>
  <si>
    <t>ONCA</t>
  </si>
  <si>
    <t>Debt</t>
  </si>
  <si>
    <t>A/P</t>
  </si>
  <si>
    <t>Total liabilities</t>
  </si>
  <si>
    <t>L+S/E</t>
  </si>
  <si>
    <t>S/E</t>
  </si>
  <si>
    <t>Accrued</t>
  </si>
  <si>
    <t>Model NI</t>
  </si>
  <si>
    <t>Reported NI</t>
  </si>
  <si>
    <t>SBC</t>
  </si>
  <si>
    <t>Restructuring</t>
  </si>
  <si>
    <t>Amortization</t>
  </si>
  <si>
    <t>Depreciation</t>
  </si>
  <si>
    <t>Investments</t>
  </si>
  <si>
    <t>Working capital</t>
  </si>
  <si>
    <t>CFFO</t>
  </si>
  <si>
    <t>CapEx</t>
  </si>
  <si>
    <t>Sales</t>
  </si>
  <si>
    <t>CFFI</t>
  </si>
  <si>
    <t>Leases</t>
  </si>
  <si>
    <t>Dividends</t>
  </si>
  <si>
    <t>CFFF</t>
  </si>
  <si>
    <t>CIC</t>
  </si>
  <si>
    <t>Incentives</t>
  </si>
  <si>
    <t>Price</t>
  </si>
  <si>
    <t>MC</t>
  </si>
  <si>
    <t>EV</t>
  </si>
  <si>
    <t>Client computing group (CCG)</t>
  </si>
  <si>
    <t>Data center and AI (DCAI)</t>
  </si>
  <si>
    <t>Network and edge (NEX)</t>
  </si>
  <si>
    <t>Intel foundry</t>
  </si>
  <si>
    <t>Altera</t>
  </si>
  <si>
    <t>Mobileye</t>
  </si>
  <si>
    <t>Notebook</t>
  </si>
  <si>
    <t>Desktop</t>
  </si>
  <si>
    <t>Numerator</t>
  </si>
  <si>
    <t>+ Net other income/(expense)</t>
  </si>
  <si>
    <t>EBIT</t>
  </si>
  <si>
    <t>+ Operating lease interest</t>
  </si>
  <si>
    <t>Net operating profit after taxes</t>
  </si>
  <si>
    <t>Denominator</t>
  </si>
  <si>
    <t>Current portion of long-term debt and other borrowings</t>
  </si>
  <si>
    <t xml:space="preserve">+ Noncurrent portion of long-term debt </t>
  </si>
  <si>
    <t>+ Shareholders investments</t>
  </si>
  <si>
    <t>+ Operating lease liabilities</t>
  </si>
  <si>
    <t>- Cash and cash equivalents</t>
  </si>
  <si>
    <t>Invested capital</t>
  </si>
  <si>
    <t>Average invested capital</t>
  </si>
  <si>
    <t>After-taks return on invested capital</t>
  </si>
  <si>
    <t>- Income taxes</t>
  </si>
  <si>
    <t>Operating lease expense</t>
  </si>
  <si>
    <t>Discount rate</t>
  </si>
  <si>
    <t>FCF</t>
  </si>
  <si>
    <t>Issuance debt</t>
  </si>
  <si>
    <t>Issuance long term debt</t>
  </si>
  <si>
    <t>CCG</t>
  </si>
  <si>
    <t>DCAI</t>
  </si>
  <si>
    <t>NEX</t>
  </si>
  <si>
    <t>Total net revenue</t>
  </si>
  <si>
    <t>Cash end of period</t>
  </si>
  <si>
    <t>Interest</t>
  </si>
  <si>
    <t>Employees</t>
  </si>
  <si>
    <t>Replacement cycle 6.5 year assuming by Intel. Questionmark?</t>
  </si>
  <si>
    <t>PC TAM = I/R+N</t>
  </si>
  <si>
    <t>I = Installed base; R = refresh rate; N = new replacement</t>
  </si>
  <si>
    <t>Intel projects long-term PC TAM to be 300mn annual units</t>
  </si>
  <si>
    <t>Competition</t>
  </si>
  <si>
    <t>AMD</t>
  </si>
  <si>
    <t>Processors:</t>
  </si>
  <si>
    <t>Bases on ARM architecture such as:</t>
  </si>
  <si>
    <t>Qualcomm</t>
  </si>
  <si>
    <t>Apple</t>
  </si>
  <si>
    <t>ARM doesn't make hardware.</t>
  </si>
  <si>
    <t>ARM designs hardware building blocks for it</t>
  </si>
  <si>
    <t>The intellectual property, or IP, is sold via licensing models to companies</t>
  </si>
  <si>
    <t>Intel Xeon processors</t>
  </si>
  <si>
    <t>Intel Xeon CPU Max series</t>
  </si>
  <si>
    <t>Intel Data Center GPU Max series</t>
  </si>
  <si>
    <t>Intel Data Center GPU Flex series</t>
  </si>
  <si>
    <t xml:space="preserve">Intel Agilex </t>
  </si>
  <si>
    <t>Intel Stratix FPGAs</t>
  </si>
  <si>
    <t>Intel eASIC devices</t>
  </si>
  <si>
    <t>Intel products and services</t>
  </si>
  <si>
    <t>Platform enabling and validation in partnership with</t>
  </si>
  <si>
    <t>ODMs, OEMs, CSPs, and independent software vendors</t>
  </si>
  <si>
    <t>Optimized solutions for leading workloads such as AI,</t>
  </si>
  <si>
    <t xml:space="preserve">cryptography, security, storage, and networking, leveraging </t>
  </si>
  <si>
    <t>differentiated features supporting diverse compute environments</t>
  </si>
  <si>
    <t>China (inc. Hong Kong)</t>
  </si>
  <si>
    <t>Singapore</t>
  </si>
  <si>
    <t>United States</t>
  </si>
  <si>
    <t>Taiwan</t>
  </si>
  <si>
    <t>Other countries</t>
  </si>
  <si>
    <t xml:space="preserve">Total net revenue </t>
  </si>
  <si>
    <t>Customers</t>
  </si>
  <si>
    <t>Dell Inc.</t>
  </si>
  <si>
    <t>Lenovo Group Limited</t>
  </si>
  <si>
    <t>HP Inc.</t>
  </si>
  <si>
    <t>Total</t>
  </si>
  <si>
    <t>Total margin</t>
  </si>
  <si>
    <t>Intersegment eliminations</t>
  </si>
  <si>
    <t>Corporate unallocated exepense</t>
  </si>
  <si>
    <t>Total operating income</t>
  </si>
  <si>
    <t>Intel foundry service</t>
  </si>
  <si>
    <t>Intel foundry services</t>
  </si>
  <si>
    <t>Client computing group</t>
  </si>
  <si>
    <t>Total operating revenue</t>
  </si>
  <si>
    <t>Total net operating income</t>
  </si>
  <si>
    <t>Data center and AI</t>
  </si>
  <si>
    <t>Network and edge</t>
  </si>
  <si>
    <t>ROIC</t>
  </si>
  <si>
    <t>ROE</t>
  </si>
  <si>
    <t>ROA</t>
  </si>
  <si>
    <t>ROTB</t>
  </si>
  <si>
    <t>Terminal value</t>
  </si>
  <si>
    <t>NPV</t>
  </si>
  <si>
    <t>Current price</t>
  </si>
  <si>
    <t>Upside</t>
  </si>
  <si>
    <t>Raw materials</t>
  </si>
  <si>
    <t>Work in process</t>
  </si>
  <si>
    <t>Finished goods</t>
  </si>
  <si>
    <t>Sales subsidiary shares</t>
  </si>
  <si>
    <t>ESOP</t>
  </si>
  <si>
    <t>Founded</t>
  </si>
  <si>
    <t>CEO</t>
  </si>
  <si>
    <t>Patrick P. Gelsinger</t>
  </si>
  <si>
    <t>DT</t>
  </si>
  <si>
    <t>Impairment</t>
  </si>
  <si>
    <t>Equity investments</t>
  </si>
  <si>
    <t>Core Ultra 5 245K</t>
  </si>
  <si>
    <t>Core Ultra 7 265K</t>
  </si>
  <si>
    <t>Core Ultra 9 285K</t>
  </si>
  <si>
    <t>Foundry</t>
  </si>
  <si>
    <t>Q125</t>
  </si>
  <si>
    <t>Q225</t>
  </si>
  <si>
    <t>Q325</t>
  </si>
  <si>
    <t>Q425</t>
  </si>
  <si>
    <t>NI TTM</t>
  </si>
  <si>
    <t>Return on tangibles</t>
  </si>
  <si>
    <t>Discount value</t>
  </si>
  <si>
    <t>Value</t>
  </si>
  <si>
    <t>Yield on cash</t>
  </si>
  <si>
    <t>FCF TTM</t>
  </si>
  <si>
    <t>Acquisitions</t>
  </si>
  <si>
    <t>additions PP&amp;E</t>
  </si>
  <si>
    <t>Stock withholdings</t>
  </si>
  <si>
    <t>Partner contributions</t>
  </si>
  <si>
    <t>All other</t>
  </si>
  <si>
    <t>Total all other</t>
  </si>
  <si>
    <t>Total Intel products</t>
  </si>
  <si>
    <t>Intel products</t>
  </si>
  <si>
    <t>Total operating margin</t>
  </si>
  <si>
    <t>Main!A1</t>
  </si>
  <si>
    <t xml:space="preserve">Total </t>
  </si>
  <si>
    <t>CFFO TTM</t>
  </si>
  <si>
    <t>OpIn</t>
  </si>
  <si>
    <t>Rev%</t>
  </si>
  <si>
    <t>OpIn margin%</t>
  </si>
  <si>
    <t>OEM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</si>
</sst>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0.0%"/>
    <numFmt numFmtId="166" formatCode="d/mm/yy;@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3" fontId="0" fillId="2" borderId="0" xfId="0" applyNumberFormat="1" applyFill="1"/>
    <xf numFmtId="164" fontId="0" fillId="0" borderId="0" xfId="0" applyNumberFormat="1"/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quotePrefix="1"/>
    <xf numFmtId="1" fontId="0" fillId="0" borderId="0" xfId="0" quotePrefix="1" applyNumberFormat="1"/>
    <xf numFmtId="1" fontId="0" fillId="0" borderId="0" xfId="0" applyNumberFormat="1"/>
    <xf numFmtId="165" fontId="0" fillId="0" borderId="0" xfId="0" applyNumberFormat="1"/>
    <xf numFmtId="3" fontId="3" fillId="0" borderId="0" xfId="0" applyNumberFormat="1" applyFont="1"/>
    <xf numFmtId="3" fontId="0" fillId="0" borderId="0" xfId="0" quotePrefix="1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 indent="1"/>
    </xf>
    <xf numFmtId="1" fontId="1" fillId="0" borderId="0" xfId="0" applyNumberFormat="1" applyFont="1"/>
    <xf numFmtId="166" fontId="0" fillId="0" borderId="0" xfId="0" applyNumberFormat="1"/>
    <xf numFmtId="3" fontId="1" fillId="2" borderId="0" xfId="0" applyNumberFormat="1" applyFont="1" applyFill="1"/>
    <xf numFmtId="9" fontId="0" fillId="2" borderId="0" xfId="0" applyNumberFormat="1" applyFill="1"/>
    <xf numFmtId="1" fontId="1" fillId="3" borderId="0" xfId="0" applyNumberFormat="1" applyFont="1" applyFill="1"/>
    <xf numFmtId="3" fontId="1" fillId="3" borderId="0" xfId="0" applyNumberFormat="1" applyFont="1" applyFill="1" applyAlignment="1">
      <alignment horizontal="right"/>
    </xf>
    <xf numFmtId="1" fontId="1" fillId="3" borderId="0" xfId="0" applyNumberFormat="1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3" fontId="1" fillId="3" borderId="0" xfId="0" applyNumberFormat="1" applyFont="1" applyFill="1" applyAlignment="1">
      <alignment horizontal="left"/>
    </xf>
    <xf numFmtId="3" fontId="0" fillId="3" borderId="0" xfId="0" applyNumberFormat="1" applyFill="1"/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7" fillId="0" borderId="0" xfId="1"/>
    <xf numFmtId="0" fontId="7" fillId="0" borderId="0" xfId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2" fillId="0" borderId="0" xfId="0" applyNumberFormat="1" applyFont="1" applyAlignment="1">
      <alignment vertical="center"/>
    </xf>
    <xf numFmtId="0" fontId="0" fillId="0" borderId="1" xfId="0" applyBorder="1"/>
    <xf numFmtId="3" fontId="0" fillId="0" borderId="2" xfId="0" applyNumberFormat="1" applyBorder="1"/>
    <xf numFmtId="0" fontId="0" fillId="0" borderId="4" xfId="0" applyBorder="1"/>
    <xf numFmtId="9" fontId="0" fillId="0" borderId="3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6" xfId="0" applyNumberFormat="1" applyBorder="1"/>
    <xf numFmtId="3" fontId="0" fillId="0" borderId="0" xfId="0" applyNumberFormat="1" applyBorder="1"/>
    <xf numFmtId="9" fontId="0" fillId="0" borderId="0" xfId="0" applyNumberFormat="1" applyBorder="1"/>
    <xf numFmtId="9" fontId="0" fillId="0" borderId="2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7" xfId="0" applyBorder="1"/>
    <xf numFmtId="9" fontId="0" fillId="0" borderId="8" xfId="0" applyNumberFormat="1" applyBorder="1"/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19050</xdr:rowOff>
    </xdr:from>
    <xdr:to>
      <xdr:col>18</xdr:col>
      <xdr:colOff>9525</xdr:colOff>
      <xdr:row>111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344F2D-BD30-1894-B1D3-239FEB05F351}"/>
            </a:ext>
          </a:extLst>
        </xdr:cNvPr>
        <xdr:cNvCxnSpPr/>
      </xdr:nvCxnSpPr>
      <xdr:spPr>
        <a:xfrm>
          <a:off x="12906375" y="19050"/>
          <a:ext cx="0" cy="1967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0</xdr:row>
      <xdr:rowOff>38100</xdr:rowOff>
    </xdr:from>
    <xdr:to>
      <xdr:col>34</xdr:col>
      <xdr:colOff>38100</xdr:colOff>
      <xdr:row>112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67D93BE-8CC0-4E93-B372-9362EE149A61}"/>
            </a:ext>
          </a:extLst>
        </xdr:cNvPr>
        <xdr:cNvCxnSpPr/>
      </xdr:nvCxnSpPr>
      <xdr:spPr>
        <a:xfrm>
          <a:off x="22726650" y="38100"/>
          <a:ext cx="0" cy="1951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28575</xdr:rowOff>
    </xdr:from>
    <xdr:to>
      <xdr:col>18</xdr:col>
      <xdr:colOff>19050</xdr:colOff>
      <xdr:row>64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4C0825E-BC90-F30D-6842-8D70F0C4E29B}"/>
            </a:ext>
          </a:extLst>
        </xdr:cNvPr>
        <xdr:cNvCxnSpPr/>
      </xdr:nvCxnSpPr>
      <xdr:spPr>
        <a:xfrm>
          <a:off x="12030075" y="28575"/>
          <a:ext cx="0" cy="10401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0</xdr:row>
      <xdr:rowOff>19050</xdr:rowOff>
    </xdr:from>
    <xdr:to>
      <xdr:col>35</xdr:col>
      <xdr:colOff>19050</xdr:colOff>
      <xdr:row>64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92BB546-D010-4583-B2C9-DFF9119A4F8F}"/>
            </a:ext>
          </a:extLst>
        </xdr:cNvPr>
        <xdr:cNvCxnSpPr/>
      </xdr:nvCxnSpPr>
      <xdr:spPr>
        <a:xfrm>
          <a:off x="22393275" y="19050"/>
          <a:ext cx="0" cy="10401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3354-86CA-4DBF-8A1F-62693E8BD0A4}">
  <dimension ref="A1:M60"/>
  <sheetViews>
    <sheetView workbookViewId="0">
      <selection activeCell="H18" sqref="H18"/>
    </sheetView>
  </sheetViews>
  <sheetFormatPr defaultRowHeight="12.75" x14ac:dyDescent="0.2"/>
  <cols>
    <col min="1" max="1" width="2.7109375" customWidth="1"/>
    <col min="2" max="2" width="26.140625" customWidth="1"/>
    <col min="5" max="5" width="9.140625" customWidth="1"/>
    <col min="6" max="6" width="13.85546875" bestFit="1" customWidth="1"/>
    <col min="11" max="11" width="10.85546875" bestFit="1" customWidth="1"/>
  </cols>
  <sheetData>
    <row r="1" spans="1:13" s="48" customFormat="1" ht="12.75" customHeight="1" x14ac:dyDescent="0.2">
      <c r="A1" s="46"/>
    </row>
    <row r="2" spans="1:13" x14ac:dyDescent="0.2">
      <c r="A2" s="2"/>
    </row>
    <row r="3" spans="1:13" x14ac:dyDescent="0.2">
      <c r="A3" s="6"/>
      <c r="B3" s="65">
        <v>2024</v>
      </c>
      <c r="C3" s="60" t="s">
        <v>18</v>
      </c>
      <c r="D3" s="61" t="s">
        <v>200</v>
      </c>
      <c r="E3" s="60" t="s">
        <v>199</v>
      </c>
      <c r="F3" s="62" t="s">
        <v>201</v>
      </c>
      <c r="K3" t="s">
        <v>68</v>
      </c>
      <c r="L3" s="3">
        <v>19.43</v>
      </c>
      <c r="M3" s="16"/>
    </row>
    <row r="4" spans="1:13" x14ac:dyDescent="0.2">
      <c r="B4" s="50" t="s">
        <v>71</v>
      </c>
      <c r="C4" s="51">
        <v>30290</v>
      </c>
      <c r="D4" s="59">
        <f>+C4/$C$9</f>
        <v>0.43076966835428637</v>
      </c>
      <c r="E4" s="51">
        <v>10920</v>
      </c>
      <c r="F4" s="53">
        <f>+E4/C4</f>
        <v>0.36051502145922748</v>
      </c>
      <c r="K4" t="s">
        <v>30</v>
      </c>
      <c r="L4" s="1">
        <f>+Model!R29</f>
        <v>4319</v>
      </c>
      <c r="M4" s="16" t="s">
        <v>17</v>
      </c>
    </row>
    <row r="5" spans="1:13" x14ac:dyDescent="0.2">
      <c r="B5" s="52" t="s">
        <v>72</v>
      </c>
      <c r="C5" s="57">
        <v>12817</v>
      </c>
      <c r="D5" s="58">
        <f>+C5/$C$9</f>
        <v>0.18227714887081176</v>
      </c>
      <c r="E5" s="57">
        <v>1338</v>
      </c>
      <c r="F5" s="54">
        <f>+E5/C5</f>
        <v>0.10439260357337911</v>
      </c>
      <c r="K5" t="s">
        <v>69</v>
      </c>
      <c r="L5" s="1">
        <f>+L3*L4</f>
        <v>83918.17</v>
      </c>
      <c r="M5" s="16"/>
    </row>
    <row r="6" spans="1:13" x14ac:dyDescent="0.2">
      <c r="B6" s="52" t="s">
        <v>73</v>
      </c>
      <c r="C6" s="57">
        <v>5842</v>
      </c>
      <c r="D6" s="58">
        <f>+C6/$C$9</f>
        <v>8.3082086580579098E-2</v>
      </c>
      <c r="E6" s="57">
        <v>931</v>
      </c>
      <c r="F6" s="54">
        <f>+E6/C6</f>
        <v>0.1593632317699418</v>
      </c>
      <c r="K6" t="s">
        <v>37</v>
      </c>
      <c r="L6" s="1">
        <f>+Model!R40</f>
        <v>22062</v>
      </c>
      <c r="M6" s="16" t="s">
        <v>17</v>
      </c>
    </row>
    <row r="7" spans="1:13" x14ac:dyDescent="0.2">
      <c r="B7" s="52" t="s">
        <v>74</v>
      </c>
      <c r="C7" s="57">
        <v>17543</v>
      </c>
      <c r="D7" s="58">
        <f>+C7/$C$9</f>
        <v>0.24948802548495363</v>
      </c>
      <c r="E7" s="57">
        <v>-13408</v>
      </c>
      <c r="F7" s="54">
        <f>+E7/C7</f>
        <v>-0.7642934503790686</v>
      </c>
      <c r="K7" t="s">
        <v>45</v>
      </c>
      <c r="L7" s="1">
        <f>+Model!R52</f>
        <v>50011</v>
      </c>
      <c r="M7" s="16" t="s">
        <v>17</v>
      </c>
    </row>
    <row r="8" spans="1:13" x14ac:dyDescent="0.2">
      <c r="B8" s="52" t="s">
        <v>191</v>
      </c>
      <c r="C8" s="57">
        <v>3824</v>
      </c>
      <c r="D8" s="58">
        <f>+C8/$C$9</f>
        <v>5.4383070709369132E-2</v>
      </c>
      <c r="E8" s="57">
        <v>-84</v>
      </c>
      <c r="F8" s="54">
        <f>+E8/C8</f>
        <v>-2.1966527196652718E-2</v>
      </c>
      <c r="K8" t="s">
        <v>70</v>
      </c>
      <c r="L8" s="1">
        <f>+L5-L6+L7</f>
        <v>111867.17</v>
      </c>
      <c r="M8" s="16"/>
    </row>
    <row r="9" spans="1:13" x14ac:dyDescent="0.2">
      <c r="B9" s="63" t="s">
        <v>197</v>
      </c>
      <c r="C9" s="56">
        <f>+SUM(C4:C8)</f>
        <v>70316</v>
      </c>
      <c r="D9" s="55"/>
      <c r="E9" s="56">
        <f>+SUM(E4:E8)</f>
        <v>-303</v>
      </c>
      <c r="F9" s="64">
        <f>+E9/C9</f>
        <v>-4.3091188349735476E-3</v>
      </c>
      <c r="K9" t="s">
        <v>198</v>
      </c>
      <c r="L9" s="1">
        <f>+SUM(Model!O83:R83)</f>
        <v>8288</v>
      </c>
      <c r="M9" s="16"/>
    </row>
    <row r="10" spans="1:13" x14ac:dyDescent="0.2">
      <c r="L10" s="11">
        <f>+L8/L9</f>
        <v>13.497486727799227</v>
      </c>
    </row>
    <row r="12" spans="1:13" x14ac:dyDescent="0.2">
      <c r="K12" t="s">
        <v>167</v>
      </c>
      <c r="L12">
        <v>1968</v>
      </c>
    </row>
    <row r="13" spans="1:13" x14ac:dyDescent="0.2">
      <c r="B13" s="4" t="s">
        <v>126</v>
      </c>
      <c r="K13" t="s">
        <v>168</v>
      </c>
      <c r="L13" t="s">
        <v>169</v>
      </c>
    </row>
    <row r="14" spans="1:13" x14ac:dyDescent="0.2">
      <c r="B14" t="s">
        <v>119</v>
      </c>
    </row>
    <row r="15" spans="1:13" x14ac:dyDescent="0.2">
      <c r="B15" t="s">
        <v>120</v>
      </c>
    </row>
    <row r="16" spans="1:13" x14ac:dyDescent="0.2">
      <c r="B16" t="s">
        <v>121</v>
      </c>
      <c r="K16" s="4" t="s">
        <v>105</v>
      </c>
    </row>
    <row r="17" spans="2:12" x14ac:dyDescent="0.2">
      <c r="B17" t="s">
        <v>122</v>
      </c>
      <c r="K17" s="24" t="s">
        <v>17</v>
      </c>
      <c r="L17" s="1">
        <f>+Model!R111</f>
        <v>108900</v>
      </c>
    </row>
    <row r="18" spans="2:12" x14ac:dyDescent="0.2">
      <c r="B18" t="s">
        <v>123</v>
      </c>
    </row>
    <row r="19" spans="2:12" x14ac:dyDescent="0.2">
      <c r="B19" t="s">
        <v>124</v>
      </c>
    </row>
    <row r="20" spans="2:12" x14ac:dyDescent="0.2">
      <c r="B20" t="s">
        <v>125</v>
      </c>
    </row>
    <row r="22" spans="2:12" x14ac:dyDescent="0.2">
      <c r="B22" t="s">
        <v>127</v>
      </c>
    </row>
    <row r="23" spans="2:12" x14ac:dyDescent="0.2">
      <c r="B23" t="s">
        <v>128</v>
      </c>
    </row>
    <row r="25" spans="2:12" x14ac:dyDescent="0.2">
      <c r="B25" t="s">
        <v>129</v>
      </c>
    </row>
    <row r="26" spans="2:12" x14ac:dyDescent="0.2">
      <c r="B26" t="s">
        <v>130</v>
      </c>
    </row>
    <row r="27" spans="2:12" x14ac:dyDescent="0.2">
      <c r="B27" t="s">
        <v>131</v>
      </c>
    </row>
    <row r="29" spans="2:12" x14ac:dyDescent="0.2">
      <c r="B29" s="4" t="s">
        <v>110</v>
      </c>
    </row>
    <row r="30" spans="2:12" x14ac:dyDescent="0.2">
      <c r="B30" t="s">
        <v>112</v>
      </c>
    </row>
    <row r="31" spans="2:12" x14ac:dyDescent="0.2">
      <c r="B31" t="s">
        <v>111</v>
      </c>
    </row>
    <row r="32" spans="2:12" x14ac:dyDescent="0.2">
      <c r="B32" t="s">
        <v>113</v>
      </c>
    </row>
    <row r="33" spans="2:2" x14ac:dyDescent="0.2">
      <c r="B33" t="s">
        <v>114</v>
      </c>
    </row>
    <row r="34" spans="2:2" x14ac:dyDescent="0.2">
      <c r="B34" t="s">
        <v>115</v>
      </c>
    </row>
    <row r="36" spans="2:2" x14ac:dyDescent="0.2">
      <c r="B36" t="s">
        <v>116</v>
      </c>
    </row>
    <row r="37" spans="2:2" x14ac:dyDescent="0.2">
      <c r="B37" t="s">
        <v>117</v>
      </c>
    </row>
    <row r="38" spans="2:2" x14ac:dyDescent="0.2">
      <c r="B38" t="s">
        <v>118</v>
      </c>
    </row>
    <row r="55" spans="3:3" x14ac:dyDescent="0.2">
      <c r="C55" t="s">
        <v>106</v>
      </c>
    </row>
    <row r="57" spans="3:3" x14ac:dyDescent="0.2">
      <c r="C57" t="s">
        <v>107</v>
      </c>
    </row>
    <row r="58" spans="3:3" x14ac:dyDescent="0.2">
      <c r="C58" t="s">
        <v>108</v>
      </c>
    </row>
    <row r="60" spans="3:3" x14ac:dyDescent="0.2">
      <c r="C60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A446-2E17-4D3B-B130-53A1ACF47318}">
  <dimension ref="A1:EO111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R14" sqref="R14"/>
    </sheetView>
  </sheetViews>
  <sheetFormatPr defaultRowHeight="12.75" x14ac:dyDescent="0.2"/>
  <cols>
    <col min="1" max="1" width="4.140625" customWidth="1"/>
    <col min="2" max="2" width="22.5703125" bestFit="1" customWidth="1"/>
    <col min="3" max="15" width="10.140625" style="1" bestFit="1" customWidth="1"/>
    <col min="16" max="32" width="9.140625" style="1"/>
    <col min="33" max="33" width="9.7109375" style="1" bestFit="1" customWidth="1"/>
    <col min="34" max="44" width="9.140625" style="1"/>
    <col min="46" max="46" width="9.140625" customWidth="1"/>
    <col min="47" max="47" width="10.140625" bestFit="1" customWidth="1"/>
    <col min="50" max="50" width="9.140625" customWidth="1"/>
    <col min="51" max="51" width="13.140625" bestFit="1" customWidth="1"/>
  </cols>
  <sheetData>
    <row r="1" spans="1:49" s="48" customFormat="1" ht="12.75" customHeight="1" x14ac:dyDescent="0.2">
      <c r="A1" s="45" t="s">
        <v>196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</row>
    <row r="2" spans="1:49" s="31" customFormat="1" x14ac:dyDescent="0.2">
      <c r="C2" s="31">
        <v>44282</v>
      </c>
      <c r="D2" s="31">
        <v>44403</v>
      </c>
      <c r="E2" s="31">
        <v>44464</v>
      </c>
      <c r="F2" s="31">
        <v>44560</v>
      </c>
      <c r="G2" s="31">
        <v>44653</v>
      </c>
      <c r="H2" s="31">
        <v>45109</v>
      </c>
      <c r="I2" s="31">
        <v>44835</v>
      </c>
      <c r="J2" s="31">
        <v>44925</v>
      </c>
      <c r="K2" s="31">
        <v>45017</v>
      </c>
      <c r="L2" s="31">
        <v>45108</v>
      </c>
      <c r="M2" s="31">
        <v>45199</v>
      </c>
      <c r="N2" s="31">
        <v>45290</v>
      </c>
      <c r="O2" s="31">
        <v>45381</v>
      </c>
      <c r="P2" s="31">
        <v>45472</v>
      </c>
      <c r="Q2" s="31">
        <v>45563</v>
      </c>
      <c r="R2" s="31">
        <v>45654</v>
      </c>
    </row>
    <row r="3" spans="1:49" s="7" customFormat="1" x14ac:dyDescent="0.2">
      <c r="B3" s="6"/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177</v>
      </c>
      <c r="T3" s="7" t="s">
        <v>178</v>
      </c>
      <c r="U3" s="7" t="s">
        <v>179</v>
      </c>
      <c r="V3" s="7" t="s">
        <v>180</v>
      </c>
      <c r="X3" s="16">
        <v>2014</v>
      </c>
      <c r="Y3" s="7">
        <v>2015</v>
      </c>
      <c r="Z3" s="7">
        <v>2016</v>
      </c>
      <c r="AA3" s="7">
        <v>2017</v>
      </c>
      <c r="AB3" s="7">
        <v>2018</v>
      </c>
      <c r="AC3" s="7">
        <v>2019</v>
      </c>
      <c r="AD3" s="7">
        <v>2020</v>
      </c>
      <c r="AE3" s="7">
        <v>2021</v>
      </c>
      <c r="AF3" s="7">
        <f>+AE3+1</f>
        <v>2022</v>
      </c>
      <c r="AG3" s="7">
        <f t="shared" ref="AG3:AS3" si="0">+AF3+1</f>
        <v>2023</v>
      </c>
      <c r="AH3" s="7">
        <f t="shared" si="0"/>
        <v>2024</v>
      </c>
      <c r="AI3" s="7">
        <f t="shared" si="0"/>
        <v>2025</v>
      </c>
      <c r="AJ3" s="7">
        <f t="shared" si="0"/>
        <v>2026</v>
      </c>
      <c r="AK3" s="7">
        <f t="shared" si="0"/>
        <v>2027</v>
      </c>
      <c r="AL3" s="7">
        <f t="shared" si="0"/>
        <v>2028</v>
      </c>
      <c r="AM3" s="7">
        <f t="shared" si="0"/>
        <v>2029</v>
      </c>
      <c r="AN3" s="7">
        <f t="shared" si="0"/>
        <v>2030</v>
      </c>
      <c r="AO3" s="7">
        <f t="shared" si="0"/>
        <v>2031</v>
      </c>
      <c r="AP3" s="7">
        <f t="shared" si="0"/>
        <v>2032</v>
      </c>
      <c r="AQ3" s="7">
        <f t="shared" si="0"/>
        <v>2033</v>
      </c>
      <c r="AR3" s="7">
        <f t="shared" si="0"/>
        <v>2034</v>
      </c>
      <c r="AS3" s="7">
        <f t="shared" si="0"/>
        <v>2035</v>
      </c>
      <c r="AT3" s="7">
        <f t="shared" ref="AT3" si="1">+AS3+1</f>
        <v>2036</v>
      </c>
      <c r="AU3" s="7">
        <f t="shared" ref="AU3" si="2">+AT3+1</f>
        <v>2037</v>
      </c>
      <c r="AV3" s="7">
        <f t="shared" ref="AV3:AW3" si="3">+AU3+1</f>
        <v>2038</v>
      </c>
      <c r="AW3" s="7">
        <f t="shared" si="3"/>
        <v>2039</v>
      </c>
    </row>
    <row r="4" spans="1:49" s="13" customFormat="1" x14ac:dyDescent="0.2">
      <c r="B4" s="28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49" s="14" customFormat="1" x14ac:dyDescent="0.2">
      <c r="B5" s="26" t="s">
        <v>139</v>
      </c>
      <c r="AB5" s="14">
        <f>+AB17*0.16</f>
        <v>11335.68</v>
      </c>
      <c r="AC5" s="14">
        <f>+AC17*0.17</f>
        <v>12234.050000000001</v>
      </c>
      <c r="AD5" s="14">
        <f>+AD17*0.17</f>
        <v>13237.390000000001</v>
      </c>
      <c r="AE5" s="14">
        <f>+AE17*0.21</f>
        <v>16595.04</v>
      </c>
      <c r="AF5" s="14">
        <f>+AF17*0.19</f>
        <v>11980.26</v>
      </c>
      <c r="AG5" s="14">
        <f>+AG17*0.19</f>
        <v>10303.32</v>
      </c>
    </row>
    <row r="6" spans="1:49" s="14" customFormat="1" x14ac:dyDescent="0.2">
      <c r="B6" s="26" t="s">
        <v>140</v>
      </c>
      <c r="AB6" s="14">
        <f>+AB17*0.12</f>
        <v>8501.76</v>
      </c>
      <c r="AC6" s="14">
        <f>+AC17*0.13</f>
        <v>9355.4500000000007</v>
      </c>
      <c r="AD6" s="14">
        <f>+AD17*0.12</f>
        <v>9344.0399999999991</v>
      </c>
      <c r="AE6" s="14">
        <f>+AE17*0.12</f>
        <v>9482.8799999999992</v>
      </c>
      <c r="AF6" s="14">
        <f>+AF17*0.12</f>
        <v>7566.48</v>
      </c>
      <c r="AG6" s="14">
        <f>+AG17*0.11</f>
        <v>5965.08</v>
      </c>
    </row>
    <row r="7" spans="1:49" s="14" customFormat="1" x14ac:dyDescent="0.2">
      <c r="B7" s="26" t="s">
        <v>141</v>
      </c>
      <c r="AB7" s="14">
        <f>+AB17*0.11</f>
        <v>7793.28</v>
      </c>
      <c r="AC7" s="14">
        <f>+AC17*0.11</f>
        <v>7916.15</v>
      </c>
      <c r="AD7" s="14">
        <f>+AD17*0.1</f>
        <v>7786.7000000000007</v>
      </c>
      <c r="AE7" s="14">
        <f>+AE17*0.1</f>
        <v>7902.4000000000005</v>
      </c>
      <c r="AF7" s="14">
        <f>+AF17*0.11</f>
        <v>6935.94</v>
      </c>
      <c r="AG7" s="14">
        <f>+AG17*0.1</f>
        <v>5422.8</v>
      </c>
    </row>
    <row r="8" spans="1:49" s="5" customFormat="1" x14ac:dyDescent="0.2">
      <c r="B8" s="27" t="s">
        <v>142</v>
      </c>
      <c r="AB8" s="5">
        <f>+AB17*0.39</f>
        <v>27630.720000000001</v>
      </c>
      <c r="AC8" s="5">
        <f>+AC17*0.41</f>
        <v>29505.649999999998</v>
      </c>
      <c r="AD8" s="5">
        <f>+AD17*0.39</f>
        <v>30368.13</v>
      </c>
      <c r="AE8" s="5">
        <f t="shared" ref="AE8:AF8" si="4">SUM(AE5:AE7)</f>
        <v>33980.32</v>
      </c>
      <c r="AF8" s="5">
        <f t="shared" si="4"/>
        <v>26482.679999999997</v>
      </c>
      <c r="AG8" s="5">
        <f>SUM(AG5:AG7)</f>
        <v>21691.200000000001</v>
      </c>
    </row>
    <row r="9" spans="1:49" s="1" customFormat="1" x14ac:dyDescent="0.2">
      <c r="B9" s="26" t="s">
        <v>202</v>
      </c>
      <c r="AD9" s="1">
        <f t="shared" ref="AD9:AF9" si="5">+AD11-AD8</f>
        <v>10166.869999999999</v>
      </c>
      <c r="AE9" s="1">
        <f t="shared" si="5"/>
        <v>7100.68</v>
      </c>
      <c r="AF9" s="1">
        <f t="shared" si="5"/>
        <v>5290.3200000000033</v>
      </c>
      <c r="AG9" s="1">
        <f>+AG11-AG8</f>
        <v>7566.7999999999993</v>
      </c>
    </row>
    <row r="10" spans="1:49" s="8" customFormat="1" x14ac:dyDescent="0.2">
      <c r="B10" s="25"/>
      <c r="K10" s="1"/>
      <c r="N10" s="1"/>
    </row>
    <row r="11" spans="1:49" s="1" customFormat="1" x14ac:dyDescent="0.2">
      <c r="B11" s="26" t="s">
        <v>149</v>
      </c>
      <c r="G11" s="1">
        <v>9322</v>
      </c>
      <c r="H11" s="1">
        <v>7678</v>
      </c>
      <c r="I11" s="1">
        <v>8128</v>
      </c>
      <c r="J11" s="1">
        <v>6645</v>
      </c>
      <c r="K11" s="1">
        <v>5767</v>
      </c>
      <c r="L11" s="1">
        <v>6780</v>
      </c>
      <c r="M11" s="1">
        <v>7867</v>
      </c>
      <c r="N11" s="1">
        <v>8844</v>
      </c>
      <c r="O11" s="1">
        <v>7533</v>
      </c>
      <c r="P11" s="1">
        <v>7410</v>
      </c>
      <c r="Q11" s="1">
        <v>7330</v>
      </c>
      <c r="R11" s="1">
        <v>8017</v>
      </c>
      <c r="AD11" s="1">
        <v>40535</v>
      </c>
      <c r="AE11" s="1">
        <v>41081</v>
      </c>
      <c r="AF11" s="1">
        <v>31773</v>
      </c>
      <c r="AG11" s="1">
        <v>29258</v>
      </c>
      <c r="AH11" s="1">
        <v>30290</v>
      </c>
    </row>
    <row r="12" spans="1:49" s="1" customFormat="1" x14ac:dyDescent="0.2">
      <c r="B12" s="26" t="s">
        <v>152</v>
      </c>
      <c r="G12" s="1">
        <v>6074</v>
      </c>
      <c r="H12" s="1">
        <v>4695</v>
      </c>
      <c r="I12" s="1">
        <v>4255</v>
      </c>
      <c r="J12" s="1">
        <v>4421</v>
      </c>
      <c r="K12" s="1">
        <v>2901</v>
      </c>
      <c r="L12" s="1">
        <v>4004</v>
      </c>
      <c r="M12" s="1">
        <v>3814</v>
      </c>
      <c r="N12" s="1">
        <v>3985</v>
      </c>
      <c r="O12" s="1">
        <v>3036</v>
      </c>
      <c r="P12" s="1">
        <v>3045</v>
      </c>
      <c r="Q12" s="1">
        <v>3349</v>
      </c>
      <c r="R12" s="1">
        <v>3387</v>
      </c>
      <c r="AD12" s="1">
        <v>23413</v>
      </c>
      <c r="AE12" s="1">
        <v>22774</v>
      </c>
      <c r="AF12" s="1">
        <v>19445</v>
      </c>
      <c r="AG12" s="1">
        <v>15521</v>
      </c>
      <c r="AH12" s="1">
        <v>12817</v>
      </c>
    </row>
    <row r="13" spans="1:49" s="1" customFormat="1" x14ac:dyDescent="0.2">
      <c r="B13" s="26" t="s">
        <v>153</v>
      </c>
      <c r="G13" s="1">
        <v>2139</v>
      </c>
      <c r="H13" s="1">
        <v>2211</v>
      </c>
      <c r="I13" s="1">
        <v>2133</v>
      </c>
      <c r="J13" s="1">
        <v>1926</v>
      </c>
      <c r="K13" s="1">
        <v>1489</v>
      </c>
      <c r="L13" s="1">
        <v>1364</v>
      </c>
      <c r="M13" s="1">
        <v>1450</v>
      </c>
      <c r="N13" s="1">
        <v>1471</v>
      </c>
      <c r="O13" s="1">
        <v>1364</v>
      </c>
      <c r="P13" s="1">
        <v>1344</v>
      </c>
      <c r="Q13" s="1">
        <v>1511</v>
      </c>
      <c r="R13" s="1">
        <v>1623</v>
      </c>
      <c r="AD13" s="1">
        <v>7132</v>
      </c>
      <c r="AE13" s="1">
        <v>7665</v>
      </c>
      <c r="AF13" s="1">
        <v>8409</v>
      </c>
      <c r="AG13" s="1">
        <v>5774</v>
      </c>
      <c r="AH13" s="1">
        <v>5842</v>
      </c>
    </row>
    <row r="14" spans="1:49" s="1" customFormat="1" x14ac:dyDescent="0.2">
      <c r="B14" s="26" t="s">
        <v>176</v>
      </c>
      <c r="K14" s="1">
        <v>4831</v>
      </c>
      <c r="O14" s="1">
        <v>4369</v>
      </c>
      <c r="P14" s="1">
        <v>4320</v>
      </c>
      <c r="Q14" s="1">
        <v>4352</v>
      </c>
      <c r="R14" s="1">
        <v>4502</v>
      </c>
      <c r="AH14" s="1">
        <v>17543</v>
      </c>
    </row>
    <row r="15" spans="1:49" s="1" customFormat="1" x14ac:dyDescent="0.2">
      <c r="B15" s="26" t="s">
        <v>25</v>
      </c>
      <c r="G15" s="1">
        <v>662</v>
      </c>
      <c r="H15" s="1">
        <v>737</v>
      </c>
      <c r="I15" s="1">
        <v>822</v>
      </c>
      <c r="J15" s="1">
        <v>1050</v>
      </c>
      <c r="K15" s="1">
        <v>1439</v>
      </c>
      <c r="L15" s="1">
        <v>801</v>
      </c>
      <c r="M15" s="1">
        <v>1027</v>
      </c>
      <c r="N15" s="1">
        <v>1106</v>
      </c>
      <c r="O15" s="1">
        <v>775</v>
      </c>
      <c r="P15" s="1">
        <v>968</v>
      </c>
      <c r="Q15" s="1">
        <v>142</v>
      </c>
      <c r="R15" s="1">
        <v>1042</v>
      </c>
      <c r="AD15" s="1">
        <v>6709</v>
      </c>
      <c r="AE15" s="1">
        <v>7157</v>
      </c>
      <c r="AF15" s="1">
        <v>2958</v>
      </c>
      <c r="AG15" s="1">
        <v>2723</v>
      </c>
      <c r="AH15" s="1">
        <v>3824</v>
      </c>
    </row>
    <row r="16" spans="1:49" s="1" customFormat="1" x14ac:dyDescent="0.2">
      <c r="B16" s="26" t="s">
        <v>144</v>
      </c>
      <c r="K16" s="1">
        <v>-4713</v>
      </c>
      <c r="O16" s="1">
        <v>-4353</v>
      </c>
      <c r="P16" s="1">
        <v>-4254</v>
      </c>
      <c r="Q16" s="1">
        <v>-4297</v>
      </c>
      <c r="R16" s="1">
        <v>-4311</v>
      </c>
      <c r="AD16" s="1">
        <f t="shared" ref="AD16:AF16" si="6">+SUM(AD11:AD15)</f>
        <v>77789</v>
      </c>
      <c r="AE16" s="1">
        <f t="shared" si="6"/>
        <v>78677</v>
      </c>
      <c r="AF16" s="1">
        <f t="shared" si="6"/>
        <v>62585</v>
      </c>
      <c r="AG16" s="1">
        <f>+SUM(AG11:AG15)</f>
        <v>53276</v>
      </c>
      <c r="AH16" s="1">
        <v>-17215</v>
      </c>
    </row>
    <row r="17" spans="2:145" s="4" customFormat="1" x14ac:dyDescent="0.2">
      <c r="B17" s="4" t="s">
        <v>18</v>
      </c>
      <c r="C17" s="5">
        <v>19673</v>
      </c>
      <c r="D17" s="5">
        <v>19631</v>
      </c>
      <c r="E17" s="5">
        <v>19192</v>
      </c>
      <c r="F17" s="5">
        <f>+AE17-SUM(C17:E17)</f>
        <v>20528</v>
      </c>
      <c r="G17" s="5">
        <v>18353</v>
      </c>
      <c r="H17" s="5">
        <v>15321</v>
      </c>
      <c r="I17" s="5">
        <v>15338</v>
      </c>
      <c r="J17" s="5">
        <f>+AF17-SUM(G17:I17)</f>
        <v>14042</v>
      </c>
      <c r="K17" s="5">
        <v>11715</v>
      </c>
      <c r="L17" s="5">
        <v>12949</v>
      </c>
      <c r="M17" s="5">
        <v>14158</v>
      </c>
      <c r="N17" s="5">
        <f>+AG17-SUM(K17:M17)</f>
        <v>15406</v>
      </c>
      <c r="O17" s="5">
        <v>12724</v>
      </c>
      <c r="P17" s="5">
        <v>12833</v>
      </c>
      <c r="Q17" s="5">
        <v>13284</v>
      </c>
      <c r="R17" s="5">
        <v>14260</v>
      </c>
      <c r="S17" s="32">
        <v>12700</v>
      </c>
      <c r="T17" s="5"/>
      <c r="U17" s="5"/>
      <c r="V17" s="5"/>
      <c r="W17" s="5"/>
      <c r="X17" s="5">
        <v>55870</v>
      </c>
      <c r="Y17" s="5">
        <v>55355</v>
      </c>
      <c r="Z17" s="5">
        <v>59387</v>
      </c>
      <c r="AA17" s="5">
        <v>62761</v>
      </c>
      <c r="AB17" s="5">
        <v>70848</v>
      </c>
      <c r="AC17" s="5">
        <v>71965</v>
      </c>
      <c r="AD17" s="5">
        <v>77867</v>
      </c>
      <c r="AE17" s="5">
        <v>79024</v>
      </c>
      <c r="AF17" s="5">
        <v>63054</v>
      </c>
      <c r="AG17" s="5">
        <v>54228</v>
      </c>
      <c r="AH17" s="5">
        <f>+SUM(O17:R17)</f>
        <v>53101</v>
      </c>
      <c r="AI17" s="5">
        <f>+AH17*1.05</f>
        <v>55756.05</v>
      </c>
      <c r="AJ17" s="5">
        <f t="shared" ref="AJ17:AR17" si="7">+AI17*1.05</f>
        <v>58543.852500000008</v>
      </c>
      <c r="AK17" s="5">
        <f t="shared" si="7"/>
        <v>61471.045125000011</v>
      </c>
      <c r="AL17" s="5">
        <f t="shared" si="7"/>
        <v>64544.597381250016</v>
      </c>
      <c r="AM17" s="5">
        <f t="shared" si="7"/>
        <v>67771.827250312519</v>
      </c>
      <c r="AN17" s="5">
        <f t="shared" si="7"/>
        <v>71160.418612828144</v>
      </c>
      <c r="AO17" s="5">
        <f t="shared" si="7"/>
        <v>74718.439543469547</v>
      </c>
      <c r="AP17" s="5">
        <f t="shared" si="7"/>
        <v>78454.361520643026</v>
      </c>
      <c r="AQ17" s="5">
        <f t="shared" si="7"/>
        <v>82377.079596675176</v>
      </c>
      <c r="AR17" s="5">
        <f t="shared" si="7"/>
        <v>86495.933576508934</v>
      </c>
      <c r="AS17" s="5">
        <f t="shared" ref="AS17" si="8">+AR17*1.05</f>
        <v>90820.730255334391</v>
      </c>
      <c r="AT17" s="5">
        <f t="shared" ref="AT17" si="9">+AS17*1.05</f>
        <v>95361.766768101108</v>
      </c>
      <c r="AU17" s="5">
        <f t="shared" ref="AU17" si="10">+AT17*1.05</f>
        <v>100129.85510650616</v>
      </c>
      <c r="AV17" s="5">
        <f t="shared" ref="AV17" si="11">+AU17*1.05</f>
        <v>105136.34786183147</v>
      </c>
      <c r="AW17" s="5">
        <f t="shared" ref="AW17" si="12">+AV17*1.05</f>
        <v>110393.16525492305</v>
      </c>
      <c r="AY17" t="s">
        <v>154</v>
      </c>
      <c r="AZ17" s="8"/>
    </row>
    <row r="18" spans="2:145" x14ac:dyDescent="0.2">
      <c r="B18" t="s">
        <v>19</v>
      </c>
      <c r="C18" s="1">
        <v>8819</v>
      </c>
      <c r="D18" s="1">
        <v>8425</v>
      </c>
      <c r="E18" s="1">
        <v>8446</v>
      </c>
      <c r="F18" s="1">
        <f>+AE18-SUM(C18:E18)</f>
        <v>9519</v>
      </c>
      <c r="G18" s="1">
        <v>9109</v>
      </c>
      <c r="H18" s="1">
        <v>9734</v>
      </c>
      <c r="I18" s="1">
        <v>8803</v>
      </c>
      <c r="J18" s="1">
        <f>+AF18-SUM(G18:I18)</f>
        <v>8542</v>
      </c>
      <c r="K18" s="1">
        <v>7707</v>
      </c>
      <c r="L18" s="1">
        <v>8311</v>
      </c>
      <c r="M18" s="1">
        <v>8140</v>
      </c>
      <c r="N18" s="1">
        <f>+AG18-SUM(K18:M18)</f>
        <v>8359</v>
      </c>
      <c r="O18" s="1">
        <v>7507</v>
      </c>
      <c r="P18" s="1">
        <v>8286</v>
      </c>
      <c r="Q18" s="1">
        <v>11287</v>
      </c>
      <c r="R18" s="1">
        <v>8676</v>
      </c>
      <c r="X18" s="1">
        <v>20261</v>
      </c>
      <c r="Y18" s="1">
        <v>20676</v>
      </c>
      <c r="Z18" s="1">
        <v>23196</v>
      </c>
      <c r="AA18" s="1">
        <v>23663</v>
      </c>
      <c r="AB18" s="1">
        <v>27111</v>
      </c>
      <c r="AC18" s="1">
        <v>29825</v>
      </c>
      <c r="AD18" s="1">
        <v>34255</v>
      </c>
      <c r="AE18" s="1">
        <v>35209</v>
      </c>
      <c r="AF18" s="1">
        <v>36188</v>
      </c>
      <c r="AG18" s="1">
        <v>32517</v>
      </c>
      <c r="AH18" s="1">
        <v>35756</v>
      </c>
      <c r="AI18" s="1">
        <f t="shared" ref="AI18:AR18" si="13">+AH18*1.02</f>
        <v>36471.120000000003</v>
      </c>
      <c r="AJ18" s="1">
        <f t="shared" si="13"/>
        <v>37200.542400000006</v>
      </c>
      <c r="AK18" s="1">
        <f t="shared" si="13"/>
        <v>37944.553248000004</v>
      </c>
      <c r="AL18" s="1">
        <f t="shared" si="13"/>
        <v>38703.444312960004</v>
      </c>
      <c r="AM18" s="1">
        <f t="shared" si="13"/>
        <v>39477.513199219204</v>
      </c>
      <c r="AN18" s="1">
        <f t="shared" si="13"/>
        <v>40267.063463203587</v>
      </c>
      <c r="AO18" s="1">
        <f t="shared" si="13"/>
        <v>41072.404732467658</v>
      </c>
      <c r="AP18" s="1">
        <f t="shared" si="13"/>
        <v>41893.852827117014</v>
      </c>
      <c r="AQ18" s="1">
        <f t="shared" si="13"/>
        <v>42731.729883659355</v>
      </c>
      <c r="AR18" s="1">
        <f t="shared" si="13"/>
        <v>43586.364481332545</v>
      </c>
      <c r="AS18" s="1">
        <f t="shared" ref="AS18" si="14">+AR18*1.02</f>
        <v>44458.091770959196</v>
      </c>
      <c r="AT18" s="1">
        <f t="shared" ref="AT18" si="15">+AS18*1.02</f>
        <v>45347.253606378377</v>
      </c>
      <c r="AU18" s="1">
        <f t="shared" ref="AU18" si="16">+AT18*1.02</f>
        <v>46254.198678505949</v>
      </c>
      <c r="AV18" s="1">
        <f t="shared" ref="AV18" si="17">+AU18*1.02</f>
        <v>47179.282652076072</v>
      </c>
      <c r="AW18" s="1">
        <f t="shared" ref="AW18" si="18">+AV18*1.02</f>
        <v>48122.868305117598</v>
      </c>
      <c r="AY18" t="s">
        <v>158</v>
      </c>
      <c r="AZ18" s="8">
        <v>-0.02</v>
      </c>
    </row>
    <row r="19" spans="2:145" x14ac:dyDescent="0.2">
      <c r="B19" t="s">
        <v>20</v>
      </c>
      <c r="C19" s="1">
        <f t="shared" ref="C19:N19" si="19">+C17-C18</f>
        <v>10854</v>
      </c>
      <c r="D19" s="1">
        <f t="shared" si="19"/>
        <v>11206</v>
      </c>
      <c r="E19" s="1">
        <f t="shared" si="19"/>
        <v>10746</v>
      </c>
      <c r="F19" s="1">
        <f t="shared" si="19"/>
        <v>11009</v>
      </c>
      <c r="G19" s="1">
        <f t="shared" si="19"/>
        <v>9244</v>
      </c>
      <c r="H19" s="1">
        <f t="shared" si="19"/>
        <v>5587</v>
      </c>
      <c r="I19" s="1">
        <f t="shared" si="19"/>
        <v>6535</v>
      </c>
      <c r="J19" s="1">
        <f t="shared" si="19"/>
        <v>5500</v>
      </c>
      <c r="K19" s="1">
        <f t="shared" si="19"/>
        <v>4008</v>
      </c>
      <c r="L19" s="1">
        <f t="shared" si="19"/>
        <v>4638</v>
      </c>
      <c r="M19" s="1">
        <f t="shared" si="19"/>
        <v>6018</v>
      </c>
      <c r="N19" s="1">
        <f t="shared" si="19"/>
        <v>7047</v>
      </c>
      <c r="O19" s="1">
        <f t="shared" ref="O19:P19" si="20">+O17-O18</f>
        <v>5217</v>
      </c>
      <c r="P19" s="1">
        <f t="shared" si="20"/>
        <v>4547</v>
      </c>
      <c r="Q19" s="1">
        <f t="shared" ref="Q19:R19" si="21">+Q17-Q18</f>
        <v>1997</v>
      </c>
      <c r="R19" s="1">
        <f t="shared" si="21"/>
        <v>5584</v>
      </c>
      <c r="X19" s="1">
        <f t="shared" ref="X19:AW19" si="22">+X17-X18</f>
        <v>35609</v>
      </c>
      <c r="Y19" s="1">
        <f t="shared" si="22"/>
        <v>34679</v>
      </c>
      <c r="Z19" s="1">
        <f t="shared" si="22"/>
        <v>36191</v>
      </c>
      <c r="AA19" s="1">
        <f t="shared" si="22"/>
        <v>39098</v>
      </c>
      <c r="AB19" s="1">
        <f t="shared" si="22"/>
        <v>43737</v>
      </c>
      <c r="AC19" s="1">
        <f t="shared" si="22"/>
        <v>42140</v>
      </c>
      <c r="AD19" s="1">
        <f t="shared" si="22"/>
        <v>43612</v>
      </c>
      <c r="AE19" s="1">
        <f t="shared" si="22"/>
        <v>43815</v>
      </c>
      <c r="AF19" s="1">
        <f t="shared" si="22"/>
        <v>26866</v>
      </c>
      <c r="AG19" s="1">
        <f t="shared" si="22"/>
        <v>21711</v>
      </c>
      <c r="AH19" s="1">
        <f t="shared" si="22"/>
        <v>17345</v>
      </c>
      <c r="AI19" s="1">
        <f t="shared" si="22"/>
        <v>19284.93</v>
      </c>
      <c r="AJ19" s="1">
        <f t="shared" si="22"/>
        <v>21343.310100000002</v>
      </c>
      <c r="AK19" s="1">
        <f t="shared" si="22"/>
        <v>23526.491877000008</v>
      </c>
      <c r="AL19" s="1">
        <f t="shared" si="22"/>
        <v>25841.153068290012</v>
      </c>
      <c r="AM19" s="1">
        <f t="shared" si="22"/>
        <v>28294.314051093315</v>
      </c>
      <c r="AN19" s="1">
        <f t="shared" si="22"/>
        <v>30893.355149624556</v>
      </c>
      <c r="AO19" s="1">
        <f t="shared" si="22"/>
        <v>33646.034811001889</v>
      </c>
      <c r="AP19" s="1">
        <f t="shared" si="22"/>
        <v>36560.508693526011</v>
      </c>
      <c r="AQ19" s="1">
        <f t="shared" si="22"/>
        <v>39645.349713015821</v>
      </c>
      <c r="AR19" s="1">
        <f t="shared" si="22"/>
        <v>42909.56909517639</v>
      </c>
      <c r="AS19" s="1">
        <f t="shared" si="22"/>
        <v>46362.638484375195</v>
      </c>
      <c r="AT19" s="1">
        <f t="shared" si="22"/>
        <v>50014.513161722731</v>
      </c>
      <c r="AU19" s="1">
        <f t="shared" si="22"/>
        <v>53875.656428000213</v>
      </c>
      <c r="AV19" s="1">
        <f t="shared" si="22"/>
        <v>57957.065209755398</v>
      </c>
      <c r="AW19" s="1">
        <f t="shared" si="22"/>
        <v>62270.296949805452</v>
      </c>
      <c r="AY19" t="s">
        <v>183</v>
      </c>
      <c r="AZ19" s="8">
        <v>0.12</v>
      </c>
    </row>
    <row r="20" spans="2:145" x14ac:dyDescent="0.2">
      <c r="B20" t="s">
        <v>21</v>
      </c>
      <c r="C20" s="1">
        <v>3623</v>
      </c>
      <c r="D20" s="1">
        <v>3715</v>
      </c>
      <c r="E20" s="1">
        <v>3803</v>
      </c>
      <c r="F20" s="1">
        <f>+AE20-SUM(C20:E20)</f>
        <v>4049</v>
      </c>
      <c r="G20" s="1">
        <v>4362</v>
      </c>
      <c r="H20" s="1">
        <v>4400</v>
      </c>
      <c r="I20" s="1">
        <v>4302</v>
      </c>
      <c r="J20" s="1">
        <f>+AF20-SUM(G20:I20)</f>
        <v>4464</v>
      </c>
      <c r="K20" s="1">
        <v>4109</v>
      </c>
      <c r="L20" s="1">
        <v>4080</v>
      </c>
      <c r="M20" s="1">
        <v>3870</v>
      </c>
      <c r="N20" s="1">
        <f>+AG20-SUM(K20:M20)</f>
        <v>3987</v>
      </c>
      <c r="O20" s="1">
        <v>4382</v>
      </c>
      <c r="P20" s="1">
        <v>4239</v>
      </c>
      <c r="Q20" s="1">
        <v>4049</v>
      </c>
      <c r="R20" s="1">
        <v>3876</v>
      </c>
      <c r="X20" s="1">
        <v>11537</v>
      </c>
      <c r="Y20" s="1">
        <v>12128</v>
      </c>
      <c r="Z20" s="1">
        <v>12740</v>
      </c>
      <c r="AA20" s="1">
        <v>13035</v>
      </c>
      <c r="AB20" s="1">
        <v>13543</v>
      </c>
      <c r="AC20" s="1">
        <v>13362</v>
      </c>
      <c r="AD20" s="1">
        <v>13556</v>
      </c>
      <c r="AE20" s="1">
        <v>15190</v>
      </c>
      <c r="AF20" s="1">
        <v>17528</v>
      </c>
      <c r="AG20" s="1">
        <v>16046</v>
      </c>
      <c r="AH20" s="1">
        <v>16546</v>
      </c>
      <c r="AI20" s="1">
        <v>15500</v>
      </c>
      <c r="AJ20" s="1">
        <f t="shared" ref="AJ20:AR20" si="23">+AI20*1.05</f>
        <v>16275</v>
      </c>
      <c r="AK20" s="1">
        <f t="shared" si="23"/>
        <v>17088.75</v>
      </c>
      <c r="AL20" s="1">
        <f t="shared" si="23"/>
        <v>17943.1875</v>
      </c>
      <c r="AM20" s="1">
        <f t="shared" si="23"/>
        <v>18840.346874999999</v>
      </c>
      <c r="AN20" s="1">
        <f t="shared" si="23"/>
        <v>19782.364218750001</v>
      </c>
      <c r="AO20" s="1">
        <f t="shared" si="23"/>
        <v>20771.482429687501</v>
      </c>
      <c r="AP20" s="1">
        <f t="shared" si="23"/>
        <v>21810.056551171878</v>
      </c>
      <c r="AQ20" s="1">
        <f t="shared" si="23"/>
        <v>22900.559378730472</v>
      </c>
      <c r="AR20" s="1">
        <f t="shared" si="23"/>
        <v>24045.587347666995</v>
      </c>
      <c r="AS20" s="1">
        <f t="shared" ref="AS20" si="24">+AR20*1.05</f>
        <v>25247.866715050346</v>
      </c>
      <c r="AT20" s="1">
        <f t="shared" ref="AT20" si="25">+AS20*1.05</f>
        <v>26510.260050802866</v>
      </c>
      <c r="AU20" s="1">
        <f t="shared" ref="AU20" si="26">+AT20*1.05</f>
        <v>27835.773053343011</v>
      </c>
      <c r="AV20" s="1">
        <f t="shared" ref="AV20" si="27">+AU20*1.05</f>
        <v>29227.561706010161</v>
      </c>
      <c r="AW20" s="1">
        <f t="shared" ref="AW20" si="28">+AV20*1.05</f>
        <v>30688.93979131067</v>
      </c>
      <c r="AY20" t="s">
        <v>159</v>
      </c>
      <c r="AZ20" s="1">
        <f>+NPV(AZ19,AI27:EO27)</f>
        <v>53408.967296412615</v>
      </c>
    </row>
    <row r="21" spans="2:145" x14ac:dyDescent="0.2">
      <c r="B21" t="s">
        <v>22</v>
      </c>
      <c r="C21" s="1">
        <v>1328</v>
      </c>
      <c r="D21" s="1">
        <v>1599</v>
      </c>
      <c r="E21" s="1">
        <v>1674</v>
      </c>
      <c r="F21" s="1">
        <f>+AE21-SUM(C21:E21)</f>
        <v>1942</v>
      </c>
      <c r="G21" s="1">
        <v>1752</v>
      </c>
      <c r="H21" s="1">
        <v>1800</v>
      </c>
      <c r="I21" s="1">
        <v>1744</v>
      </c>
      <c r="J21" s="1">
        <f>+AF21-SUM(G21:I21)</f>
        <v>1706</v>
      </c>
      <c r="K21" s="1">
        <v>1303</v>
      </c>
      <c r="L21" s="1">
        <v>1374</v>
      </c>
      <c r="M21" s="1">
        <v>1340</v>
      </c>
      <c r="N21" s="1">
        <f>+AG21-SUM(K21:M21)</f>
        <v>1617</v>
      </c>
      <c r="O21" s="1">
        <v>1556</v>
      </c>
      <c r="P21" s="1">
        <v>1329</v>
      </c>
      <c r="Q21" s="1">
        <v>1383</v>
      </c>
      <c r="R21" s="1">
        <v>1239</v>
      </c>
      <c r="X21" s="1">
        <v>8136</v>
      </c>
      <c r="Y21" s="1">
        <v>7930</v>
      </c>
      <c r="Z21" s="1">
        <v>8397</v>
      </c>
      <c r="AA21" s="1">
        <v>7452</v>
      </c>
      <c r="AB21" s="1">
        <v>6750</v>
      </c>
      <c r="AC21" s="1">
        <v>6150</v>
      </c>
      <c r="AD21" s="1">
        <v>6180</v>
      </c>
      <c r="AE21" s="1">
        <v>6543</v>
      </c>
      <c r="AF21" s="1">
        <v>7002</v>
      </c>
      <c r="AG21" s="1">
        <v>5634</v>
      </c>
      <c r="AH21" s="1">
        <v>5507</v>
      </c>
      <c r="AI21" s="1">
        <v>4500</v>
      </c>
      <c r="AJ21" s="1">
        <f t="shared" ref="AJ21:AR21" si="29">+AI21*1.04</f>
        <v>4680</v>
      </c>
      <c r="AK21" s="1">
        <f t="shared" si="29"/>
        <v>4867.2</v>
      </c>
      <c r="AL21" s="1">
        <f t="shared" si="29"/>
        <v>5061.8879999999999</v>
      </c>
      <c r="AM21" s="1">
        <f t="shared" si="29"/>
        <v>5264.3635199999999</v>
      </c>
      <c r="AN21" s="1">
        <f t="shared" si="29"/>
        <v>5474.9380608000001</v>
      </c>
      <c r="AO21" s="1">
        <f t="shared" si="29"/>
        <v>5693.9355832320007</v>
      </c>
      <c r="AP21" s="1">
        <f t="shared" si="29"/>
        <v>5921.6930065612805</v>
      </c>
      <c r="AQ21" s="1">
        <f t="shared" si="29"/>
        <v>6158.5607268237318</v>
      </c>
      <c r="AR21" s="1">
        <f t="shared" si="29"/>
        <v>6404.9031558966817</v>
      </c>
      <c r="AS21" s="1">
        <f t="shared" ref="AS21" si="30">+AR21*1.04</f>
        <v>6661.099282132549</v>
      </c>
      <c r="AT21" s="1">
        <f t="shared" ref="AT21" si="31">+AS21*1.04</f>
        <v>6927.5432534178508</v>
      </c>
      <c r="AU21" s="1">
        <f t="shared" ref="AU21" si="32">+AT21*1.04</f>
        <v>7204.6449835545654</v>
      </c>
      <c r="AV21" s="1">
        <f t="shared" ref="AV21" si="33">+AU21*1.04</f>
        <v>7492.8307828967481</v>
      </c>
      <c r="AW21" s="1">
        <f t="shared" ref="AW21" si="34">+AV21*1.04</f>
        <v>7792.5440142126181</v>
      </c>
      <c r="AY21" t="s">
        <v>36</v>
      </c>
      <c r="AZ21" s="1">
        <f>+AH39</f>
        <v>-43644</v>
      </c>
    </row>
    <row r="22" spans="2:145" x14ac:dyDescent="0.2">
      <c r="B22" t="s">
        <v>23</v>
      </c>
      <c r="C22" s="1">
        <f t="shared" ref="C22:Q22" si="35">+C20+C21</f>
        <v>4951</v>
      </c>
      <c r="D22" s="1">
        <f t="shared" si="35"/>
        <v>5314</v>
      </c>
      <c r="E22" s="1">
        <f t="shared" si="35"/>
        <v>5477</v>
      </c>
      <c r="F22" s="1">
        <f t="shared" si="35"/>
        <v>5991</v>
      </c>
      <c r="G22" s="1">
        <f t="shared" si="35"/>
        <v>6114</v>
      </c>
      <c r="H22" s="1">
        <f t="shared" si="35"/>
        <v>6200</v>
      </c>
      <c r="I22" s="1">
        <f t="shared" si="35"/>
        <v>6046</v>
      </c>
      <c r="J22" s="1">
        <f t="shared" si="35"/>
        <v>6170</v>
      </c>
      <c r="K22" s="1">
        <f t="shared" si="35"/>
        <v>5412</v>
      </c>
      <c r="L22" s="1">
        <f t="shared" si="35"/>
        <v>5454</v>
      </c>
      <c r="M22" s="1">
        <f t="shared" si="35"/>
        <v>5210</v>
      </c>
      <c r="N22" s="1">
        <f t="shared" si="35"/>
        <v>5604</v>
      </c>
      <c r="O22" s="1">
        <f t="shared" si="35"/>
        <v>5938</v>
      </c>
      <c r="P22" s="1">
        <f t="shared" si="35"/>
        <v>5568</v>
      </c>
      <c r="Q22" s="1">
        <f t="shared" si="35"/>
        <v>5432</v>
      </c>
      <c r="R22" s="1">
        <f t="shared" ref="R22" si="36">+R20+R21</f>
        <v>5115</v>
      </c>
      <c r="X22" s="1">
        <f t="shared" ref="X22:AR22" si="37">SUM(X20:X21)</f>
        <v>19673</v>
      </c>
      <c r="Y22" s="1">
        <f t="shared" si="37"/>
        <v>20058</v>
      </c>
      <c r="Z22" s="1">
        <f t="shared" si="37"/>
        <v>21137</v>
      </c>
      <c r="AA22" s="1">
        <f t="shared" si="37"/>
        <v>20487</v>
      </c>
      <c r="AB22" s="1">
        <f t="shared" si="37"/>
        <v>20293</v>
      </c>
      <c r="AC22" s="1">
        <f t="shared" si="37"/>
        <v>19512</v>
      </c>
      <c r="AD22" s="1">
        <f t="shared" si="37"/>
        <v>19736</v>
      </c>
      <c r="AE22" s="1">
        <f t="shared" si="37"/>
        <v>21733</v>
      </c>
      <c r="AF22" s="1">
        <f t="shared" si="37"/>
        <v>24530</v>
      </c>
      <c r="AG22" s="1">
        <f t="shared" si="37"/>
        <v>21680</v>
      </c>
      <c r="AH22" s="1">
        <f t="shared" si="37"/>
        <v>22053</v>
      </c>
      <c r="AI22" s="10">
        <f>SUM(AI20:AI21)</f>
        <v>20000</v>
      </c>
      <c r="AJ22" s="1">
        <f>SUM(AJ20:AJ21)</f>
        <v>20955</v>
      </c>
      <c r="AK22" s="1">
        <f t="shared" si="37"/>
        <v>21955.95</v>
      </c>
      <c r="AL22" s="1">
        <f t="shared" si="37"/>
        <v>23005.075499999999</v>
      </c>
      <c r="AM22" s="1">
        <f t="shared" si="37"/>
        <v>24104.710394999998</v>
      </c>
      <c r="AN22" s="1">
        <f t="shared" si="37"/>
        <v>25257.30227955</v>
      </c>
      <c r="AO22" s="1">
        <f t="shared" si="37"/>
        <v>26465.418012919501</v>
      </c>
      <c r="AP22" s="1">
        <f t="shared" si="37"/>
        <v>27731.749557733157</v>
      </c>
      <c r="AQ22" s="1">
        <f t="shared" si="37"/>
        <v>29059.120105554204</v>
      </c>
      <c r="AR22" s="1">
        <f t="shared" si="37"/>
        <v>30450.490503563677</v>
      </c>
      <c r="AS22" s="1">
        <f t="shared" ref="AS22:AW22" si="38">SUM(AS20:AS21)</f>
        <v>31908.965997182895</v>
      </c>
      <c r="AT22" s="1">
        <f t="shared" si="38"/>
        <v>33437.803304220717</v>
      </c>
      <c r="AU22" s="1">
        <f t="shared" si="38"/>
        <v>35040.418036897579</v>
      </c>
      <c r="AV22" s="1">
        <f t="shared" si="38"/>
        <v>36720.392488906909</v>
      </c>
      <c r="AW22" s="1">
        <f t="shared" si="38"/>
        <v>38481.48380552329</v>
      </c>
      <c r="AY22" t="s">
        <v>184</v>
      </c>
      <c r="AZ22" s="1">
        <f>+AZ20+AZ21</f>
        <v>9764.9672964126148</v>
      </c>
    </row>
    <row r="23" spans="2:145" x14ac:dyDescent="0.2">
      <c r="B23" t="s">
        <v>24</v>
      </c>
      <c r="C23" s="1">
        <f t="shared" ref="C23:P23" si="39">+C19-C22</f>
        <v>5903</v>
      </c>
      <c r="D23" s="1">
        <f t="shared" si="39"/>
        <v>5892</v>
      </c>
      <c r="E23" s="1">
        <f t="shared" si="39"/>
        <v>5269</v>
      </c>
      <c r="F23" s="1">
        <f t="shared" si="39"/>
        <v>5018</v>
      </c>
      <c r="G23" s="1">
        <f t="shared" si="39"/>
        <v>3130</v>
      </c>
      <c r="H23" s="1">
        <f t="shared" si="39"/>
        <v>-613</v>
      </c>
      <c r="I23" s="1">
        <f t="shared" si="39"/>
        <v>489</v>
      </c>
      <c r="J23" s="1">
        <f t="shared" si="39"/>
        <v>-670</v>
      </c>
      <c r="K23" s="1">
        <f t="shared" si="39"/>
        <v>-1404</v>
      </c>
      <c r="L23" s="1">
        <f t="shared" si="39"/>
        <v>-816</v>
      </c>
      <c r="M23" s="1">
        <f t="shared" si="39"/>
        <v>808</v>
      </c>
      <c r="N23" s="1">
        <f t="shared" si="39"/>
        <v>1443</v>
      </c>
      <c r="O23" s="1">
        <f t="shared" si="39"/>
        <v>-721</v>
      </c>
      <c r="P23" s="1">
        <f t="shared" si="39"/>
        <v>-1021</v>
      </c>
      <c r="Q23" s="1">
        <f t="shared" ref="Q23:R23" si="40">+Q19-Q22</f>
        <v>-3435</v>
      </c>
      <c r="R23" s="1">
        <f t="shared" si="40"/>
        <v>469</v>
      </c>
      <c r="X23" s="1">
        <f t="shared" ref="X23:AR23" si="41">+X19-X22</f>
        <v>15936</v>
      </c>
      <c r="Y23" s="1">
        <f t="shared" si="41"/>
        <v>14621</v>
      </c>
      <c r="Z23" s="1">
        <f t="shared" si="41"/>
        <v>15054</v>
      </c>
      <c r="AA23" s="1">
        <f t="shared" si="41"/>
        <v>18611</v>
      </c>
      <c r="AB23" s="1">
        <f t="shared" si="41"/>
        <v>23444</v>
      </c>
      <c r="AC23" s="1">
        <f t="shared" si="41"/>
        <v>22628</v>
      </c>
      <c r="AD23" s="1">
        <f t="shared" si="41"/>
        <v>23876</v>
      </c>
      <c r="AE23" s="1">
        <f t="shared" si="41"/>
        <v>22082</v>
      </c>
      <c r="AF23" s="1">
        <f t="shared" si="41"/>
        <v>2336</v>
      </c>
      <c r="AG23" s="1">
        <f>+AG19-AG22</f>
        <v>31</v>
      </c>
      <c r="AH23" s="1">
        <f>+AH19-AH22</f>
        <v>-4708</v>
      </c>
      <c r="AI23" s="1">
        <f t="shared" si="41"/>
        <v>-715.06999999999971</v>
      </c>
      <c r="AJ23" s="1">
        <f t="shared" si="41"/>
        <v>388.31010000000242</v>
      </c>
      <c r="AK23" s="1">
        <f t="shared" si="41"/>
        <v>1570.5418770000069</v>
      </c>
      <c r="AL23" s="1">
        <f t="shared" si="41"/>
        <v>2836.077568290013</v>
      </c>
      <c r="AM23" s="1">
        <f t="shared" si="41"/>
        <v>4189.6036560933171</v>
      </c>
      <c r="AN23" s="1">
        <f t="shared" si="41"/>
        <v>5636.0528700745563</v>
      </c>
      <c r="AO23" s="1">
        <f t="shared" si="41"/>
        <v>7180.6167980823884</v>
      </c>
      <c r="AP23" s="1">
        <f t="shared" si="41"/>
        <v>8828.7591357928541</v>
      </c>
      <c r="AQ23" s="1">
        <f t="shared" si="41"/>
        <v>10586.229607461617</v>
      </c>
      <c r="AR23" s="1">
        <f t="shared" si="41"/>
        <v>12459.078591612713</v>
      </c>
      <c r="AS23" s="1">
        <f t="shared" ref="AS23:AW23" si="42">+AS19-AS22</f>
        <v>14453.6724871923</v>
      </c>
      <c r="AT23" s="1">
        <f t="shared" si="42"/>
        <v>16576.709857502014</v>
      </c>
      <c r="AU23" s="1">
        <f t="shared" si="42"/>
        <v>18835.238391102634</v>
      </c>
      <c r="AV23" s="1">
        <f t="shared" si="42"/>
        <v>21236.672720848488</v>
      </c>
      <c r="AW23" s="1">
        <f t="shared" si="42"/>
        <v>23788.813144282161</v>
      </c>
      <c r="AY23" t="s">
        <v>68</v>
      </c>
      <c r="AZ23" s="3">
        <f>+AZ22/Main!L4</f>
        <v>2.2609324603872691</v>
      </c>
    </row>
    <row r="24" spans="2:145" x14ac:dyDescent="0.2">
      <c r="B24" t="s">
        <v>104</v>
      </c>
      <c r="C24" s="1">
        <f>368-156</f>
        <v>212</v>
      </c>
      <c r="D24" s="1">
        <f>295-96</f>
        <v>199</v>
      </c>
      <c r="E24" s="1">
        <f>1707-76</f>
        <v>1631</v>
      </c>
      <c r="F24" s="1">
        <f>+AE24-SUM(C24:E24)</f>
        <v>205</v>
      </c>
      <c r="G24" s="10">
        <f>4323+997</f>
        <v>5320</v>
      </c>
      <c r="H24" s="1">
        <f>-90-119</f>
        <v>-209</v>
      </c>
      <c r="I24" s="1">
        <f>-151+138</f>
        <v>-13</v>
      </c>
      <c r="J24" s="1">
        <f>+AF24-SUM(G24:I24)</f>
        <v>336</v>
      </c>
      <c r="K24" s="1">
        <f>169+141</f>
        <v>310</v>
      </c>
      <c r="L24" s="1">
        <f>-24+224</f>
        <v>200</v>
      </c>
      <c r="M24" s="1">
        <f>-191+147</f>
        <v>-44</v>
      </c>
      <c r="N24" s="1">
        <f>+AG24-SUM(K24:M24)</f>
        <v>203</v>
      </c>
      <c r="O24" s="1">
        <f>205+145</f>
        <v>350</v>
      </c>
      <c r="P24" s="1">
        <v>80</v>
      </c>
      <c r="Q24" s="1">
        <v>130</v>
      </c>
      <c r="R24" s="1">
        <v>-129</v>
      </c>
      <c r="X24" s="1">
        <v>43</v>
      </c>
      <c r="Y24" s="1">
        <v>-105</v>
      </c>
      <c r="Z24" s="1">
        <v>-444</v>
      </c>
      <c r="AA24" s="1">
        <v>-349</v>
      </c>
      <c r="AB24" s="1">
        <v>126</v>
      </c>
      <c r="AC24" s="1">
        <v>484</v>
      </c>
      <c r="AD24" s="1">
        <f>1904-504</f>
        <v>1400</v>
      </c>
      <c r="AE24" s="1">
        <f>2729-482</f>
        <v>2247</v>
      </c>
      <c r="AF24" s="1">
        <f>4268+1166</f>
        <v>5434</v>
      </c>
      <c r="AG24" s="1">
        <f>40+629</f>
        <v>669</v>
      </c>
      <c r="AH24" s="1">
        <v>226</v>
      </c>
      <c r="AI24" s="1">
        <f>+AH39*0.02</f>
        <v>-872.88</v>
      </c>
      <c r="AJ24" s="1">
        <f t="shared" ref="AJ24:AW24" si="43">+AI39*0.02</f>
        <v>-896.69925000000001</v>
      </c>
      <c r="AK24" s="1">
        <f t="shared" si="43"/>
        <v>-904.32508724999991</v>
      </c>
      <c r="AL24" s="1">
        <f t="shared" si="43"/>
        <v>-894.33183540374989</v>
      </c>
      <c r="AM24" s="1">
        <f t="shared" si="43"/>
        <v>-865.20564941045598</v>
      </c>
      <c r="AN24" s="1">
        <f t="shared" si="43"/>
        <v>-815.339679310213</v>
      </c>
      <c r="AO24" s="1">
        <f t="shared" si="43"/>
        <v>-743.0289814487478</v>
      </c>
      <c r="AP24" s="1">
        <f t="shared" si="43"/>
        <v>-646.46516419924319</v>
      </c>
      <c r="AQ24" s="1">
        <f t="shared" si="43"/>
        <v>-523.73075462533905</v>
      </c>
      <c r="AR24" s="1">
        <f t="shared" si="43"/>
        <v>-372.79327183279486</v>
      </c>
      <c r="AS24" s="1">
        <f t="shared" si="43"/>
        <v>-191.4989920360961</v>
      </c>
      <c r="AT24" s="1">
        <f t="shared" si="43"/>
        <v>22.433610391246948</v>
      </c>
      <c r="AU24" s="1">
        <f t="shared" si="43"/>
        <v>271.42076240964587</v>
      </c>
      <c r="AV24" s="1">
        <f t="shared" si="43"/>
        <v>558.02064971233006</v>
      </c>
      <c r="AW24" s="1">
        <f t="shared" si="43"/>
        <v>884.94105027074227</v>
      </c>
      <c r="AY24" s="8" t="s">
        <v>160</v>
      </c>
      <c r="AZ24" s="3">
        <f>+Main!L3</f>
        <v>19.43</v>
      </c>
    </row>
    <row r="25" spans="2:145" x14ac:dyDescent="0.2">
      <c r="B25" t="s">
        <v>26</v>
      </c>
      <c r="C25" s="1">
        <f t="shared" ref="C25:P25" si="44">+C23+C24</f>
        <v>6115</v>
      </c>
      <c r="D25" s="1">
        <f t="shared" si="44"/>
        <v>6091</v>
      </c>
      <c r="E25" s="1">
        <f t="shared" si="44"/>
        <v>6900</v>
      </c>
      <c r="F25" s="1">
        <f t="shared" si="44"/>
        <v>5223</v>
      </c>
      <c r="G25" s="1">
        <f t="shared" si="44"/>
        <v>8450</v>
      </c>
      <c r="H25" s="1">
        <f t="shared" si="44"/>
        <v>-822</v>
      </c>
      <c r="I25" s="1">
        <f t="shared" si="44"/>
        <v>476</v>
      </c>
      <c r="J25" s="1">
        <f t="shared" si="44"/>
        <v>-334</v>
      </c>
      <c r="K25" s="1">
        <f t="shared" si="44"/>
        <v>-1094</v>
      </c>
      <c r="L25" s="1">
        <f t="shared" si="44"/>
        <v>-616</v>
      </c>
      <c r="M25" s="1">
        <f t="shared" si="44"/>
        <v>764</v>
      </c>
      <c r="N25" s="1">
        <f t="shared" si="44"/>
        <v>1646</v>
      </c>
      <c r="O25" s="1">
        <f t="shared" si="44"/>
        <v>-371</v>
      </c>
      <c r="P25" s="1">
        <f t="shared" si="44"/>
        <v>-941</v>
      </c>
      <c r="Q25" s="1">
        <f t="shared" ref="Q25:R25" si="45">+Q23+Q24</f>
        <v>-3305</v>
      </c>
      <c r="R25" s="1">
        <f t="shared" si="45"/>
        <v>340</v>
      </c>
      <c r="X25" s="1">
        <f t="shared" ref="X25:AC25" si="46">+X23+SUM(X24:X24)</f>
        <v>15979</v>
      </c>
      <c r="Y25" s="1">
        <f t="shared" si="46"/>
        <v>14516</v>
      </c>
      <c r="Z25" s="1">
        <f t="shared" si="46"/>
        <v>14610</v>
      </c>
      <c r="AA25" s="1">
        <f t="shared" si="46"/>
        <v>18262</v>
      </c>
      <c r="AB25" s="1">
        <f t="shared" si="46"/>
        <v>23570</v>
      </c>
      <c r="AC25" s="1">
        <f t="shared" si="46"/>
        <v>23112</v>
      </c>
      <c r="AD25" s="1">
        <f t="shared" ref="AD25:AW25" si="47">+AD23+AD24</f>
        <v>25276</v>
      </c>
      <c r="AE25" s="1">
        <f t="shared" si="47"/>
        <v>24329</v>
      </c>
      <c r="AF25" s="1">
        <f t="shared" si="47"/>
        <v>7770</v>
      </c>
      <c r="AG25" s="1">
        <f t="shared" si="47"/>
        <v>700</v>
      </c>
      <c r="AH25" s="1">
        <f t="shared" si="47"/>
        <v>-4482</v>
      </c>
      <c r="AI25" s="1">
        <f t="shared" si="47"/>
        <v>-1587.9499999999998</v>
      </c>
      <c r="AJ25" s="1">
        <f t="shared" si="47"/>
        <v>-508.38914999999758</v>
      </c>
      <c r="AK25" s="1">
        <f t="shared" si="47"/>
        <v>666.21678975000702</v>
      </c>
      <c r="AL25" s="1">
        <f t="shared" si="47"/>
        <v>1941.7457328862631</v>
      </c>
      <c r="AM25" s="1">
        <f t="shared" si="47"/>
        <v>3324.3980066828613</v>
      </c>
      <c r="AN25" s="1">
        <f t="shared" si="47"/>
        <v>4820.7131907643434</v>
      </c>
      <c r="AO25" s="1">
        <f t="shared" si="47"/>
        <v>6437.5878166336406</v>
      </c>
      <c r="AP25" s="1">
        <f t="shared" si="47"/>
        <v>8182.2939715936109</v>
      </c>
      <c r="AQ25" s="1">
        <f t="shared" si="47"/>
        <v>10062.498852836277</v>
      </c>
      <c r="AR25" s="1">
        <f t="shared" si="47"/>
        <v>12086.285319779918</v>
      </c>
      <c r="AS25" s="1">
        <f t="shared" si="47"/>
        <v>14262.173495156203</v>
      </c>
      <c r="AT25" s="1">
        <f t="shared" si="47"/>
        <v>16599.14346789326</v>
      </c>
      <c r="AU25" s="1">
        <f t="shared" si="47"/>
        <v>19106.659153512279</v>
      </c>
      <c r="AV25" s="1">
        <f t="shared" si="47"/>
        <v>21794.693370560817</v>
      </c>
      <c r="AW25" s="1">
        <f t="shared" si="47"/>
        <v>24673.754194552905</v>
      </c>
      <c r="AY25" s="8" t="s">
        <v>161</v>
      </c>
      <c r="AZ25" s="8">
        <f>+AZ23/AZ24-1</f>
        <v>-0.88363703240415492</v>
      </c>
    </row>
    <row r="26" spans="2:145" x14ac:dyDescent="0.2">
      <c r="B26" t="s">
        <v>27</v>
      </c>
      <c r="C26" s="1">
        <v>545</v>
      </c>
      <c r="D26" s="1">
        <v>684</v>
      </c>
      <c r="E26" s="1">
        <v>35</v>
      </c>
      <c r="F26" s="1">
        <f>+AE26-SUM(C26:E26)</f>
        <v>571</v>
      </c>
      <c r="G26" s="1">
        <v>1548</v>
      </c>
      <c r="H26" s="1">
        <v>-455</v>
      </c>
      <c r="I26" s="1">
        <v>-1207</v>
      </c>
      <c r="J26" s="1">
        <f>+AF26-SUM(G26:I26)</f>
        <v>-135</v>
      </c>
      <c r="K26" s="1">
        <v>1610</v>
      </c>
      <c r="L26" s="1">
        <v>-2289</v>
      </c>
      <c r="M26" s="1">
        <v>-362</v>
      </c>
      <c r="N26" s="1">
        <f>+AG26-SUM(K26:M26)</f>
        <v>128</v>
      </c>
      <c r="O26" s="1">
        <v>-282</v>
      </c>
      <c r="P26" s="1">
        <v>-350</v>
      </c>
      <c r="Q26" s="1">
        <v>7903</v>
      </c>
      <c r="R26" s="1">
        <v>752</v>
      </c>
      <c r="X26" s="1">
        <v>4097</v>
      </c>
      <c r="Y26" s="1">
        <v>2792</v>
      </c>
      <c r="Z26" s="1">
        <v>2620</v>
      </c>
      <c r="AA26" s="1">
        <v>10751</v>
      </c>
      <c r="AB26" s="1">
        <v>2264</v>
      </c>
      <c r="AC26" s="1">
        <v>3010</v>
      </c>
      <c r="AD26" s="1">
        <v>4179</v>
      </c>
      <c r="AE26" s="1">
        <v>1835</v>
      </c>
      <c r="AF26" s="1">
        <v>-249</v>
      </c>
      <c r="AG26" s="1">
        <v>-913</v>
      </c>
      <c r="AH26" s="1">
        <v>8023</v>
      </c>
      <c r="AI26" s="1">
        <f t="shared" ref="AI26:AW26" si="48">+AI25*0.25</f>
        <v>-396.98749999999995</v>
      </c>
      <c r="AJ26" s="1">
        <f t="shared" si="48"/>
        <v>-127.0972874999994</v>
      </c>
      <c r="AK26" s="1">
        <f t="shared" si="48"/>
        <v>166.55419743750176</v>
      </c>
      <c r="AL26" s="1">
        <f t="shared" si="48"/>
        <v>485.43643322156578</v>
      </c>
      <c r="AM26" s="1">
        <f t="shared" si="48"/>
        <v>831.09950167071531</v>
      </c>
      <c r="AN26" s="1">
        <f t="shared" si="48"/>
        <v>1205.1782976910858</v>
      </c>
      <c r="AO26" s="1">
        <f t="shared" si="48"/>
        <v>1609.3969541584102</v>
      </c>
      <c r="AP26" s="1">
        <f t="shared" si="48"/>
        <v>2045.5734928984027</v>
      </c>
      <c r="AQ26" s="1">
        <f t="shared" si="48"/>
        <v>2515.6247132090693</v>
      </c>
      <c r="AR26" s="1">
        <f t="shared" si="48"/>
        <v>3021.5713299449794</v>
      </c>
      <c r="AS26" s="1">
        <f t="shared" si="48"/>
        <v>3565.5433737890507</v>
      </c>
      <c r="AT26" s="1">
        <f t="shared" si="48"/>
        <v>4149.785866973315</v>
      </c>
      <c r="AU26" s="1">
        <f t="shared" si="48"/>
        <v>4776.6647883780697</v>
      </c>
      <c r="AV26" s="1">
        <f t="shared" si="48"/>
        <v>5448.6733426402043</v>
      </c>
      <c r="AW26" s="1">
        <f t="shared" si="48"/>
        <v>6168.4385486382262</v>
      </c>
    </row>
    <row r="27" spans="2:145" s="1" customFormat="1" x14ac:dyDescent="0.2">
      <c r="B27" s="1" t="s">
        <v>28</v>
      </c>
      <c r="C27" s="1">
        <f t="shared" ref="C27:N27" si="49">+C25-C26</f>
        <v>5570</v>
      </c>
      <c r="D27" s="1">
        <f t="shared" si="49"/>
        <v>5407</v>
      </c>
      <c r="E27" s="1">
        <f t="shared" si="49"/>
        <v>6865</v>
      </c>
      <c r="F27" s="1">
        <f t="shared" si="49"/>
        <v>4652</v>
      </c>
      <c r="G27" s="1">
        <f t="shared" si="49"/>
        <v>6902</v>
      </c>
      <c r="H27" s="1">
        <f t="shared" si="49"/>
        <v>-367</v>
      </c>
      <c r="I27" s="1">
        <f t="shared" si="49"/>
        <v>1683</v>
      </c>
      <c r="J27" s="1">
        <f t="shared" si="49"/>
        <v>-199</v>
      </c>
      <c r="K27" s="1">
        <f t="shared" si="49"/>
        <v>-2704</v>
      </c>
      <c r="L27" s="1">
        <f t="shared" si="49"/>
        <v>1673</v>
      </c>
      <c r="M27" s="1">
        <f t="shared" si="49"/>
        <v>1126</v>
      </c>
      <c r="N27" s="1">
        <f t="shared" si="49"/>
        <v>1518</v>
      </c>
      <c r="O27" s="1">
        <f>+O25-O26</f>
        <v>-89</v>
      </c>
      <c r="P27" s="1">
        <f>+P25-P26</f>
        <v>-591</v>
      </c>
      <c r="Q27" s="1">
        <f>+Q25-Q26</f>
        <v>-11208</v>
      </c>
      <c r="R27" s="1">
        <f>+R25-R26</f>
        <v>-412</v>
      </c>
      <c r="X27" s="1">
        <f t="shared" ref="X27:AW27" si="50">+X25-X26</f>
        <v>11882</v>
      </c>
      <c r="Y27" s="1">
        <f t="shared" si="50"/>
        <v>11724</v>
      </c>
      <c r="Z27" s="1">
        <f t="shared" si="50"/>
        <v>11990</v>
      </c>
      <c r="AA27" s="1">
        <f t="shared" si="50"/>
        <v>7511</v>
      </c>
      <c r="AB27" s="1">
        <f t="shared" si="50"/>
        <v>21306</v>
      </c>
      <c r="AC27" s="1">
        <f t="shared" si="50"/>
        <v>20102</v>
      </c>
      <c r="AD27" s="1">
        <f t="shared" si="50"/>
        <v>21097</v>
      </c>
      <c r="AE27" s="1">
        <f t="shared" si="50"/>
        <v>22494</v>
      </c>
      <c r="AF27" s="1">
        <f t="shared" si="50"/>
        <v>8019</v>
      </c>
      <c r="AG27" s="1">
        <f t="shared" si="50"/>
        <v>1613</v>
      </c>
      <c r="AH27" s="1">
        <f t="shared" si="50"/>
        <v>-12505</v>
      </c>
      <c r="AI27" s="1">
        <f t="shared" si="50"/>
        <v>-1190.9624999999999</v>
      </c>
      <c r="AJ27" s="1">
        <f t="shared" si="50"/>
        <v>-381.29186249999816</v>
      </c>
      <c r="AK27" s="1">
        <f t="shared" si="50"/>
        <v>499.66259231250524</v>
      </c>
      <c r="AL27" s="1">
        <f t="shared" si="50"/>
        <v>1456.3092996646974</v>
      </c>
      <c r="AM27" s="1">
        <f t="shared" si="50"/>
        <v>2493.2985050121461</v>
      </c>
      <c r="AN27" s="1">
        <f t="shared" si="50"/>
        <v>3615.5348930732575</v>
      </c>
      <c r="AO27" s="1">
        <f t="shared" si="50"/>
        <v>4828.1908624752305</v>
      </c>
      <c r="AP27" s="1">
        <f t="shared" si="50"/>
        <v>6136.7204786952079</v>
      </c>
      <c r="AQ27" s="1">
        <f t="shared" si="50"/>
        <v>7546.874139627208</v>
      </c>
      <c r="AR27" s="1">
        <f t="shared" si="50"/>
        <v>9064.7139898349378</v>
      </c>
      <c r="AS27" s="1">
        <f t="shared" si="50"/>
        <v>10696.630121367152</v>
      </c>
      <c r="AT27" s="1">
        <f t="shared" si="50"/>
        <v>12449.357600919946</v>
      </c>
      <c r="AU27" s="1">
        <f t="shared" si="50"/>
        <v>14329.994365134209</v>
      </c>
      <c r="AV27" s="1">
        <f t="shared" si="50"/>
        <v>16346.020027920613</v>
      </c>
      <c r="AW27" s="1">
        <f t="shared" si="50"/>
        <v>18505.315645914678</v>
      </c>
      <c r="AX27" s="1">
        <f t="shared" ref="AX27:CC27" si="51">+AW27*(1+$AZ$18)</f>
        <v>18135.209332996383</v>
      </c>
      <c r="AY27" s="1">
        <f t="shared" si="51"/>
        <v>17772.505146336454</v>
      </c>
      <c r="AZ27" s="1">
        <f t="shared" si="51"/>
        <v>17417.055043409724</v>
      </c>
      <c r="BA27" s="1">
        <f t="shared" si="51"/>
        <v>17068.71394254153</v>
      </c>
      <c r="BB27" s="1">
        <f t="shared" si="51"/>
        <v>16727.339663690698</v>
      </c>
      <c r="BC27" s="1">
        <f t="shared" si="51"/>
        <v>16392.792870416884</v>
      </c>
      <c r="BD27" s="1">
        <f t="shared" si="51"/>
        <v>16064.937013008546</v>
      </c>
      <c r="BE27" s="1">
        <f t="shared" si="51"/>
        <v>15743.638272748374</v>
      </c>
      <c r="BF27" s="1">
        <f t="shared" si="51"/>
        <v>15428.765507293407</v>
      </c>
      <c r="BG27" s="1">
        <f t="shared" si="51"/>
        <v>15120.190197147538</v>
      </c>
      <c r="BH27" s="1">
        <f t="shared" si="51"/>
        <v>14817.786393204588</v>
      </c>
      <c r="BI27" s="1">
        <f t="shared" si="51"/>
        <v>14521.430665340495</v>
      </c>
      <c r="BJ27" s="1">
        <f t="shared" si="51"/>
        <v>14231.002052033684</v>
      </c>
      <c r="BK27" s="1">
        <f t="shared" si="51"/>
        <v>13946.382010993009</v>
      </c>
      <c r="BL27" s="1">
        <f t="shared" si="51"/>
        <v>13667.454370773148</v>
      </c>
      <c r="BM27" s="1">
        <f t="shared" si="51"/>
        <v>13394.105283357685</v>
      </c>
      <c r="BN27" s="1">
        <f t="shared" si="51"/>
        <v>13126.223177690532</v>
      </c>
      <c r="BO27" s="1">
        <f t="shared" si="51"/>
        <v>12863.698714136721</v>
      </c>
      <c r="BP27" s="1">
        <f t="shared" si="51"/>
        <v>12606.424739853986</v>
      </c>
      <c r="BQ27" s="1">
        <f t="shared" si="51"/>
        <v>12354.296245056907</v>
      </c>
      <c r="BR27" s="1">
        <f t="shared" si="51"/>
        <v>12107.210320155767</v>
      </c>
      <c r="BS27" s="1">
        <f t="shared" si="51"/>
        <v>11865.066113752651</v>
      </c>
      <c r="BT27" s="1">
        <f t="shared" si="51"/>
        <v>11627.764791477599</v>
      </c>
      <c r="BU27" s="1">
        <f t="shared" si="51"/>
        <v>11395.209495648047</v>
      </c>
      <c r="BV27" s="1">
        <f t="shared" si="51"/>
        <v>11167.305305735086</v>
      </c>
      <c r="BW27" s="1">
        <f t="shared" si="51"/>
        <v>10943.959199620384</v>
      </c>
      <c r="BX27" s="1">
        <f t="shared" si="51"/>
        <v>10725.080015627977</v>
      </c>
      <c r="BY27" s="1">
        <f t="shared" si="51"/>
        <v>10510.578415315416</v>
      </c>
      <c r="BZ27" s="1">
        <f t="shared" si="51"/>
        <v>10300.366847009107</v>
      </c>
      <c r="CA27" s="1">
        <f t="shared" si="51"/>
        <v>10094.359510068925</v>
      </c>
      <c r="CB27" s="1">
        <f t="shared" si="51"/>
        <v>9892.4723198675474</v>
      </c>
      <c r="CC27" s="1">
        <f t="shared" si="51"/>
        <v>9694.6228734701963</v>
      </c>
      <c r="CD27" s="1">
        <f t="shared" ref="CD27:DI27" si="52">+CC27*(1+$AZ$18)</f>
        <v>9500.7304160007916</v>
      </c>
      <c r="CE27" s="1">
        <f t="shared" si="52"/>
        <v>9310.7158076807755</v>
      </c>
      <c r="CF27" s="1">
        <f t="shared" si="52"/>
        <v>9124.5014915271604</v>
      </c>
      <c r="CG27" s="1">
        <f t="shared" si="52"/>
        <v>8942.0114616966166</v>
      </c>
      <c r="CH27" s="1">
        <f t="shared" si="52"/>
        <v>8763.1712324626842</v>
      </c>
      <c r="CI27" s="1">
        <f t="shared" si="52"/>
        <v>8587.9078078134298</v>
      </c>
      <c r="CJ27" s="1">
        <f t="shared" si="52"/>
        <v>8416.1496516571606</v>
      </c>
      <c r="CK27" s="1">
        <f t="shared" si="52"/>
        <v>8247.826658624017</v>
      </c>
      <c r="CL27" s="1">
        <f t="shared" si="52"/>
        <v>8082.8701254515363</v>
      </c>
      <c r="CM27" s="1">
        <f t="shared" si="52"/>
        <v>7921.212722942505</v>
      </c>
      <c r="CN27" s="1">
        <f t="shared" si="52"/>
        <v>7762.7884684836545</v>
      </c>
      <c r="CO27" s="1">
        <f t="shared" si="52"/>
        <v>7607.5326991139809</v>
      </c>
      <c r="CP27" s="1">
        <f t="shared" si="52"/>
        <v>7455.3820451317015</v>
      </c>
      <c r="CQ27" s="1">
        <f t="shared" si="52"/>
        <v>7306.2744042290669</v>
      </c>
      <c r="CR27" s="1">
        <f t="shared" si="52"/>
        <v>7160.1489161444852</v>
      </c>
      <c r="CS27" s="1">
        <f t="shared" si="52"/>
        <v>7016.9459378215952</v>
      </c>
      <c r="CT27" s="1">
        <f t="shared" si="52"/>
        <v>6876.6070190651635</v>
      </c>
      <c r="CU27" s="1">
        <f t="shared" si="52"/>
        <v>6739.0748786838603</v>
      </c>
      <c r="CV27" s="1">
        <f t="shared" si="52"/>
        <v>6604.293381110183</v>
      </c>
      <c r="CW27" s="1">
        <f t="shared" si="52"/>
        <v>6472.2075134879788</v>
      </c>
      <c r="CX27" s="1">
        <f t="shared" si="52"/>
        <v>6342.7633632182187</v>
      </c>
      <c r="CY27" s="1">
        <f t="shared" si="52"/>
        <v>6215.9080959538542</v>
      </c>
      <c r="CZ27" s="1">
        <f t="shared" si="52"/>
        <v>6091.5899340347769</v>
      </c>
      <c r="DA27" s="1">
        <f t="shared" si="52"/>
        <v>5969.7581353540809</v>
      </c>
      <c r="DB27" s="1">
        <f t="shared" si="52"/>
        <v>5850.362972646999</v>
      </c>
      <c r="DC27" s="1">
        <f t="shared" si="52"/>
        <v>5733.3557131940588</v>
      </c>
      <c r="DD27" s="1">
        <f t="shared" si="52"/>
        <v>5618.6885989301772</v>
      </c>
      <c r="DE27" s="1">
        <f t="shared" si="52"/>
        <v>5506.3148269515732</v>
      </c>
      <c r="DF27" s="1">
        <f t="shared" si="52"/>
        <v>5396.1885304125417</v>
      </c>
      <c r="DG27" s="1">
        <f t="shared" si="52"/>
        <v>5288.2647598042904</v>
      </c>
      <c r="DH27" s="1">
        <f t="shared" si="52"/>
        <v>5182.4994646082041</v>
      </c>
      <c r="DI27" s="1">
        <f t="shared" si="52"/>
        <v>5078.8494753160403</v>
      </c>
      <c r="DJ27" s="1">
        <f t="shared" ref="DJ27:EO27" si="53">+DI27*(1+$AZ$18)</f>
        <v>4977.272485809719</v>
      </c>
      <c r="DK27" s="1">
        <f t="shared" si="53"/>
        <v>4877.7270360935245</v>
      </c>
      <c r="DL27" s="1">
        <f t="shared" si="53"/>
        <v>4780.1724953716539</v>
      </c>
      <c r="DM27" s="1">
        <f t="shared" si="53"/>
        <v>4684.5690454642208</v>
      </c>
      <c r="DN27" s="1">
        <f t="shared" si="53"/>
        <v>4590.877664554936</v>
      </c>
      <c r="DO27" s="1">
        <f t="shared" si="53"/>
        <v>4499.0601112638369</v>
      </c>
      <c r="DP27" s="1">
        <f t="shared" si="53"/>
        <v>4409.0789090385597</v>
      </c>
      <c r="DQ27" s="1">
        <f t="shared" si="53"/>
        <v>4320.8973308577888</v>
      </c>
      <c r="DR27" s="1">
        <f t="shared" si="53"/>
        <v>4234.4793842406325</v>
      </c>
      <c r="DS27" s="1">
        <f t="shared" si="53"/>
        <v>4149.7897965558195</v>
      </c>
      <c r="DT27" s="1">
        <f t="shared" si="53"/>
        <v>4066.7940006247031</v>
      </c>
      <c r="DU27" s="1">
        <f t="shared" si="53"/>
        <v>3985.4581206122089</v>
      </c>
      <c r="DV27" s="1">
        <f t="shared" si="53"/>
        <v>3905.7489581999648</v>
      </c>
      <c r="DW27" s="1">
        <f t="shared" si="53"/>
        <v>3827.6339790359652</v>
      </c>
      <c r="DX27" s="1">
        <f t="shared" si="53"/>
        <v>3751.0812994552457</v>
      </c>
      <c r="DY27" s="1">
        <f t="shared" si="53"/>
        <v>3676.0596734661408</v>
      </c>
      <c r="DZ27" s="1">
        <f t="shared" si="53"/>
        <v>3602.5384799968178</v>
      </c>
      <c r="EA27" s="1">
        <f t="shared" si="53"/>
        <v>3530.4877103968815</v>
      </c>
      <c r="EB27" s="1">
        <f t="shared" si="53"/>
        <v>3459.8779561889437</v>
      </c>
      <c r="EC27" s="1">
        <f t="shared" si="53"/>
        <v>3390.6803970651649</v>
      </c>
      <c r="ED27" s="1">
        <f t="shared" si="53"/>
        <v>3322.8667891238615</v>
      </c>
      <c r="EE27" s="1">
        <f t="shared" si="53"/>
        <v>3256.4094533413841</v>
      </c>
      <c r="EF27" s="1">
        <f t="shared" si="53"/>
        <v>3191.2812642745562</v>
      </c>
      <c r="EG27" s="1">
        <f t="shared" si="53"/>
        <v>3127.4556389890649</v>
      </c>
      <c r="EH27" s="1">
        <f t="shared" si="53"/>
        <v>3064.9065262092836</v>
      </c>
      <c r="EI27" s="1">
        <f t="shared" si="53"/>
        <v>3003.608395685098</v>
      </c>
      <c r="EJ27" s="1">
        <f t="shared" si="53"/>
        <v>2943.5362277713962</v>
      </c>
      <c r="EK27" s="1">
        <f t="shared" si="53"/>
        <v>2884.6655032159683</v>
      </c>
      <c r="EL27" s="1">
        <f t="shared" si="53"/>
        <v>2826.9721931516488</v>
      </c>
      <c r="EM27" s="1">
        <f t="shared" si="53"/>
        <v>2770.4327492886159</v>
      </c>
      <c r="EN27" s="1">
        <f t="shared" si="53"/>
        <v>2715.0240943028434</v>
      </c>
      <c r="EO27" s="1">
        <f t="shared" si="53"/>
        <v>2660.7236124167866</v>
      </c>
    </row>
    <row r="28" spans="2:145" x14ac:dyDescent="0.2">
      <c r="B28" t="s">
        <v>29</v>
      </c>
      <c r="C28" s="3">
        <f>+C27/C29</f>
        <v>1.35986328125</v>
      </c>
      <c r="D28" s="3">
        <f t="shared" ref="D28:N28" si="54">+D27/D29</f>
        <v>1.3239471106758081</v>
      </c>
      <c r="E28" s="3">
        <f t="shared" si="54"/>
        <v>1.6801272638277043</v>
      </c>
      <c r="F28" s="3">
        <f t="shared" si="54"/>
        <v>1.1424361493123771</v>
      </c>
      <c r="G28" s="3">
        <f t="shared" si="54"/>
        <v>1.68054541027514</v>
      </c>
      <c r="H28" s="3">
        <f t="shared" si="54"/>
        <v>-8.9512195121951216E-2</v>
      </c>
      <c r="I28" s="3">
        <f t="shared" si="54"/>
        <v>0.40799999999999997</v>
      </c>
      <c r="J28" s="3">
        <f t="shared" si="54"/>
        <v>-4.8102489726855206E-2</v>
      </c>
      <c r="K28" s="3">
        <f t="shared" si="54"/>
        <v>-0.6509388541165142</v>
      </c>
      <c r="L28" s="3">
        <f t="shared" si="54"/>
        <v>0.39871306005719731</v>
      </c>
      <c r="M28" s="3">
        <f t="shared" si="54"/>
        <v>0.26625679829746984</v>
      </c>
      <c r="N28" s="3">
        <f t="shared" si="54"/>
        <v>0.35903500473036898</v>
      </c>
      <c r="O28" s="3">
        <f t="shared" ref="O28:P28" si="55">+O27/O29</f>
        <v>-2.0980669495520982E-2</v>
      </c>
      <c r="P28" s="3">
        <f t="shared" si="55"/>
        <v>-0.13850480431216311</v>
      </c>
      <c r="Q28" s="3">
        <f t="shared" ref="Q28:R28" si="56">+Q27/Q29</f>
        <v>-2.6113699906803354</v>
      </c>
      <c r="R28" s="3">
        <f t="shared" si="56"/>
        <v>-9.5392451956471405E-2</v>
      </c>
      <c r="S28" s="3"/>
      <c r="T28" s="3"/>
      <c r="U28" s="3"/>
      <c r="V28" s="3"/>
      <c r="X28" s="1">
        <f t="shared" ref="X28:AW28" si="57">+X27/X29</f>
        <v>2.3500791139240507</v>
      </c>
      <c r="Y28" s="3">
        <f t="shared" si="57"/>
        <v>2.3955864323661626</v>
      </c>
      <c r="Z28" s="3">
        <f t="shared" si="57"/>
        <v>2.4594871794871795</v>
      </c>
      <c r="AA28" s="3">
        <f t="shared" si="57"/>
        <v>1.553464322647363</v>
      </c>
      <c r="AB28" s="3">
        <f t="shared" si="57"/>
        <v>4.5322271857051692</v>
      </c>
      <c r="AC28" s="3">
        <f t="shared" si="57"/>
        <v>4.4940755644980994</v>
      </c>
      <c r="AD28" s="3">
        <f t="shared" si="57"/>
        <v>4.9851134215500945</v>
      </c>
      <c r="AE28" s="3">
        <f t="shared" si="57"/>
        <v>5.524066797642436</v>
      </c>
      <c r="AF28" s="3">
        <f t="shared" si="57"/>
        <v>1.9383611312545324</v>
      </c>
      <c r="AG28" s="3">
        <f t="shared" si="57"/>
        <v>0.38150425733207188</v>
      </c>
      <c r="AH28" s="3">
        <f t="shared" si="57"/>
        <v>-2.9217289719626169</v>
      </c>
      <c r="AI28" s="3">
        <f t="shared" si="57"/>
        <v>-0.27826226635514018</v>
      </c>
      <c r="AJ28" s="3">
        <f t="shared" si="57"/>
        <v>-8.9086883761681807E-2</v>
      </c>
      <c r="AK28" s="3">
        <f t="shared" si="57"/>
        <v>0.11674359633469748</v>
      </c>
      <c r="AL28" s="3">
        <f t="shared" si="57"/>
        <v>0.3402591821646489</v>
      </c>
      <c r="AM28" s="3">
        <f t="shared" si="57"/>
        <v>0.58254637967573508</v>
      </c>
      <c r="AN28" s="3">
        <f t="shared" si="57"/>
        <v>0.84475114324141531</v>
      </c>
      <c r="AO28" s="3">
        <f t="shared" si="57"/>
        <v>1.1280819772138388</v>
      </c>
      <c r="AP28" s="3">
        <f t="shared" si="57"/>
        <v>1.4338131959568243</v>
      </c>
      <c r="AQ28" s="3">
        <f t="shared" si="57"/>
        <v>1.7632883503801888</v>
      </c>
      <c r="AR28" s="3">
        <f t="shared" si="57"/>
        <v>2.1179238294006866</v>
      </c>
      <c r="AS28" s="3">
        <f t="shared" si="57"/>
        <v>2.4992126451792411</v>
      </c>
      <c r="AT28" s="3">
        <f t="shared" si="57"/>
        <v>2.9087284114298941</v>
      </c>
      <c r="AU28" s="3">
        <f t="shared" si="57"/>
        <v>3.3481295245640674</v>
      </c>
      <c r="AV28" s="3">
        <f t="shared" si="57"/>
        <v>3.8191635579253767</v>
      </c>
      <c r="AW28" s="3">
        <f t="shared" si="57"/>
        <v>4.3236718798866072</v>
      </c>
    </row>
    <row r="29" spans="2:145" x14ac:dyDescent="0.2">
      <c r="B29" t="s">
        <v>30</v>
      </c>
      <c r="C29" s="1">
        <v>4096</v>
      </c>
      <c r="D29" s="1">
        <v>4084</v>
      </c>
      <c r="E29" s="1">
        <v>4086</v>
      </c>
      <c r="F29" s="1">
        <f>+AE29</f>
        <v>4072</v>
      </c>
      <c r="G29" s="1">
        <v>4107</v>
      </c>
      <c r="H29" s="1">
        <v>4100</v>
      </c>
      <c r="I29" s="1">
        <v>4125</v>
      </c>
      <c r="J29" s="1">
        <f>+AF29</f>
        <v>4137</v>
      </c>
      <c r="K29" s="1">
        <v>4154</v>
      </c>
      <c r="L29" s="1">
        <v>4196</v>
      </c>
      <c r="M29" s="1">
        <v>4229</v>
      </c>
      <c r="N29" s="1">
        <v>4228</v>
      </c>
      <c r="O29" s="1">
        <v>4242</v>
      </c>
      <c r="P29" s="1">
        <v>4267</v>
      </c>
      <c r="Q29" s="1">
        <v>4292</v>
      </c>
      <c r="R29" s="1">
        <v>4319</v>
      </c>
      <c r="X29" s="1">
        <v>5056</v>
      </c>
      <c r="Y29" s="1">
        <v>4894</v>
      </c>
      <c r="Z29" s="1">
        <v>4875</v>
      </c>
      <c r="AA29" s="1">
        <v>4835</v>
      </c>
      <c r="AB29" s="1">
        <v>4701</v>
      </c>
      <c r="AC29" s="1">
        <v>4473</v>
      </c>
      <c r="AD29" s="1">
        <v>4232</v>
      </c>
      <c r="AE29" s="1">
        <v>4072</v>
      </c>
      <c r="AF29" s="1">
        <v>4137</v>
      </c>
      <c r="AG29" s="1">
        <v>4228</v>
      </c>
      <c r="AH29" s="1">
        <v>4280</v>
      </c>
      <c r="AI29" s="1">
        <f>+AH29</f>
        <v>4280</v>
      </c>
      <c r="AJ29" s="1">
        <f t="shared" ref="AJ29:AW29" si="58">+AI29</f>
        <v>4280</v>
      </c>
      <c r="AK29" s="1">
        <f t="shared" si="58"/>
        <v>4280</v>
      </c>
      <c r="AL29" s="1">
        <f t="shared" si="58"/>
        <v>4280</v>
      </c>
      <c r="AM29" s="1">
        <f t="shared" si="58"/>
        <v>4280</v>
      </c>
      <c r="AN29" s="1">
        <f t="shared" si="58"/>
        <v>4280</v>
      </c>
      <c r="AO29" s="1">
        <f t="shared" si="58"/>
        <v>4280</v>
      </c>
      <c r="AP29" s="1">
        <f t="shared" si="58"/>
        <v>4280</v>
      </c>
      <c r="AQ29" s="1">
        <f t="shared" si="58"/>
        <v>4280</v>
      </c>
      <c r="AR29" s="1">
        <f t="shared" si="58"/>
        <v>4280</v>
      </c>
      <c r="AS29" s="1">
        <f t="shared" si="58"/>
        <v>4280</v>
      </c>
      <c r="AT29" s="1">
        <f t="shared" si="58"/>
        <v>4280</v>
      </c>
      <c r="AU29" s="1">
        <f t="shared" si="58"/>
        <v>4280</v>
      </c>
      <c r="AV29" s="1">
        <f t="shared" si="58"/>
        <v>4280</v>
      </c>
      <c r="AW29" s="1">
        <f t="shared" si="58"/>
        <v>4280</v>
      </c>
    </row>
    <row r="30" spans="2:145" x14ac:dyDescent="0.2">
      <c r="AU30" s="8"/>
    </row>
    <row r="31" spans="2:145" s="8" customFormat="1" x14ac:dyDescent="0.2">
      <c r="B31" s="8" t="s">
        <v>31</v>
      </c>
      <c r="C31" s="8">
        <f t="shared" ref="C31:R31" si="59">+C19/C17</f>
        <v>0.55172063233873836</v>
      </c>
      <c r="D31" s="8">
        <f t="shared" si="59"/>
        <v>0.57083184758799854</v>
      </c>
      <c r="E31" s="8">
        <f t="shared" si="59"/>
        <v>0.55992080033347225</v>
      </c>
      <c r="F31" s="8">
        <f t="shared" si="59"/>
        <v>0.53629189399844113</v>
      </c>
      <c r="G31" s="8">
        <f t="shared" si="59"/>
        <v>0.50367787282733067</v>
      </c>
      <c r="H31" s="8">
        <f t="shared" si="59"/>
        <v>0.36466288101298872</v>
      </c>
      <c r="I31" s="8">
        <f t="shared" si="59"/>
        <v>0.42606597991915501</v>
      </c>
      <c r="J31" s="8">
        <f t="shared" si="59"/>
        <v>0.39168209656744052</v>
      </c>
      <c r="K31" s="8">
        <f t="shared" si="59"/>
        <v>0.34212548015364919</v>
      </c>
      <c r="L31" s="8">
        <f t="shared" si="59"/>
        <v>0.35817437639972199</v>
      </c>
      <c r="M31" s="8">
        <f t="shared" si="59"/>
        <v>0.42506003672835146</v>
      </c>
      <c r="N31" s="8">
        <f t="shared" si="59"/>
        <v>0.45741918732961184</v>
      </c>
      <c r="O31" s="8">
        <f t="shared" si="59"/>
        <v>0.41001257466205598</v>
      </c>
      <c r="P31" s="8">
        <f t="shared" si="59"/>
        <v>0.35432089145172602</v>
      </c>
      <c r="Q31" s="8">
        <f t="shared" si="59"/>
        <v>0.15033122553447756</v>
      </c>
      <c r="R31" s="8">
        <f t="shared" si="59"/>
        <v>0.39158485273492288</v>
      </c>
      <c r="S31" s="33">
        <v>0.33800000000000002</v>
      </c>
      <c r="X31" s="8">
        <f t="shared" ref="X31:AR31" si="60">+X19/X17</f>
        <v>0.6373545731161625</v>
      </c>
      <c r="Y31" s="8">
        <f t="shared" si="60"/>
        <v>0.62648360581699936</v>
      </c>
      <c r="Z31" s="8">
        <f t="shared" si="60"/>
        <v>0.60940946671830531</v>
      </c>
      <c r="AA31" s="8">
        <f t="shared" si="60"/>
        <v>0.62296649192970155</v>
      </c>
      <c r="AB31" s="8">
        <f t="shared" si="60"/>
        <v>0.61733570460704612</v>
      </c>
      <c r="AC31" s="8">
        <f t="shared" si="60"/>
        <v>0.5855624261793928</v>
      </c>
      <c r="AD31" s="8">
        <f t="shared" si="60"/>
        <v>0.5600832188218372</v>
      </c>
      <c r="AE31" s="8">
        <f t="shared" si="60"/>
        <v>0.5544518121077141</v>
      </c>
      <c r="AF31" s="8">
        <f t="shared" si="60"/>
        <v>0.42607923367272499</v>
      </c>
      <c r="AG31" s="8">
        <f t="shared" si="60"/>
        <v>0.40036512502766097</v>
      </c>
      <c r="AH31" s="8">
        <f t="shared" si="60"/>
        <v>0.32664168283083184</v>
      </c>
      <c r="AI31" s="8">
        <f t="shared" si="60"/>
        <v>0.34588049189280801</v>
      </c>
      <c r="AJ31" s="8">
        <f t="shared" si="60"/>
        <v>0.36456962069587068</v>
      </c>
      <c r="AK31" s="8">
        <f t="shared" si="60"/>
        <v>0.38272477439027441</v>
      </c>
      <c r="AL31" s="8">
        <f t="shared" si="60"/>
        <v>0.40036120940769521</v>
      </c>
      <c r="AM31" s="8">
        <f t="shared" si="60"/>
        <v>0.41749374628176106</v>
      </c>
      <c r="AN31" s="8">
        <f t="shared" si="60"/>
        <v>0.43413678210228218</v>
      </c>
      <c r="AO31" s="8">
        <f t="shared" si="60"/>
        <v>0.45030430261364551</v>
      </c>
      <c r="AP31" s="8">
        <f t="shared" si="60"/>
        <v>0.46600989396754133</v>
      </c>
      <c r="AQ31" s="8">
        <f t="shared" si="60"/>
        <v>0.48126675413989728</v>
      </c>
      <c r="AR31" s="8">
        <f t="shared" si="60"/>
        <v>0.49608770402161445</v>
      </c>
      <c r="AS31" s="8">
        <f t="shared" ref="AS31:AW31" si="61">+AS19/AS17</f>
        <v>0.51048519819242555</v>
      </c>
      <c r="AT31" s="8">
        <f t="shared" si="61"/>
        <v>0.5244713353869277</v>
      </c>
      <c r="AU31" s="8">
        <f t="shared" si="61"/>
        <v>0.53805786866158689</v>
      </c>
      <c r="AV31" s="8">
        <f t="shared" si="61"/>
        <v>0.55125621527125579</v>
      </c>
      <c r="AW31" s="8">
        <f t="shared" si="61"/>
        <v>0.56407746626350552</v>
      </c>
    </row>
    <row r="32" spans="2:145" s="8" customFormat="1" x14ac:dyDescent="0.2">
      <c r="B32" s="8" t="s">
        <v>32</v>
      </c>
      <c r="C32" s="8">
        <f t="shared" ref="C32:R32" si="62">+C23/C17</f>
        <v>0.30005591419712296</v>
      </c>
      <c r="D32" s="8">
        <f t="shared" si="62"/>
        <v>0.30013753756813205</v>
      </c>
      <c r="E32" s="8">
        <f t="shared" si="62"/>
        <v>0.27454147561483949</v>
      </c>
      <c r="F32" s="8">
        <f t="shared" si="62"/>
        <v>0.24444660950896338</v>
      </c>
      <c r="G32" s="8">
        <f t="shared" si="62"/>
        <v>0.17054432517844495</v>
      </c>
      <c r="H32" s="8">
        <f t="shared" si="62"/>
        <v>-4.0010443182559884E-2</v>
      </c>
      <c r="I32" s="8">
        <f t="shared" si="62"/>
        <v>3.1881601251792929E-2</v>
      </c>
      <c r="J32" s="8">
        <f t="shared" si="62"/>
        <v>-4.7714000854579122E-2</v>
      </c>
      <c r="K32" s="8">
        <f t="shared" si="62"/>
        <v>-0.11984635083226633</v>
      </c>
      <c r="L32" s="8">
        <f t="shared" si="62"/>
        <v>-6.3016449146652248E-2</v>
      </c>
      <c r="M32" s="8">
        <f t="shared" si="62"/>
        <v>5.707020765644865E-2</v>
      </c>
      <c r="N32" s="8">
        <f t="shared" si="62"/>
        <v>9.3664805919771513E-2</v>
      </c>
      <c r="O32" s="8">
        <f t="shared" si="62"/>
        <v>-5.6664570889657338E-2</v>
      </c>
      <c r="P32" s="8">
        <f t="shared" si="62"/>
        <v>-7.9560508065144545E-2</v>
      </c>
      <c r="Q32" s="8">
        <f t="shared" si="62"/>
        <v>-0.25858175248419152</v>
      </c>
      <c r="R32" s="8">
        <f t="shared" si="62"/>
        <v>3.2889200561009815E-2</v>
      </c>
      <c r="X32" s="8">
        <f t="shared" ref="X32:AH32" si="63">+X23/X17</f>
        <v>0.28523357794880971</v>
      </c>
      <c r="Y32" s="8">
        <f t="shared" si="63"/>
        <v>0.26413151476831359</v>
      </c>
      <c r="Z32" s="8">
        <f t="shared" si="63"/>
        <v>0.25348982100459694</v>
      </c>
      <c r="AA32" s="8">
        <f t="shared" si="63"/>
        <v>0.2965376587371138</v>
      </c>
      <c r="AB32" s="8">
        <f t="shared" si="63"/>
        <v>0.33090560072267389</v>
      </c>
      <c r="AC32" s="8">
        <f t="shared" si="63"/>
        <v>0.31443062599874938</v>
      </c>
      <c r="AD32" s="8">
        <f t="shared" si="63"/>
        <v>0.30662539972003544</v>
      </c>
      <c r="AE32" s="8">
        <f t="shared" si="63"/>
        <v>0.27943409597084429</v>
      </c>
      <c r="AF32" s="8">
        <f t="shared" si="63"/>
        <v>3.7047609985092142E-2</v>
      </c>
      <c r="AG32" s="8">
        <f t="shared" si="63"/>
        <v>5.716603968429593E-4</v>
      </c>
      <c r="AH32" s="8">
        <f t="shared" si="63"/>
        <v>-8.8661230485301598E-2</v>
      </c>
      <c r="AI32" s="8">
        <f t="shared" ref="AI32:AR32" si="64">+AI23/AI17</f>
        <v>-1.2824975944314558E-2</v>
      </c>
      <c r="AJ32" s="8">
        <f t="shared" si="64"/>
        <v>6.6328074326847961E-3</v>
      </c>
      <c r="AK32" s="8">
        <f t="shared" si="64"/>
        <v>2.5549295181273472E-2</v>
      </c>
      <c r="AL32" s="8">
        <f t="shared" si="64"/>
        <v>4.3939813452363155E-2</v>
      </c>
      <c r="AM32" s="8">
        <f t="shared" si="64"/>
        <v>6.1819251834824882E-2</v>
      </c>
      <c r="AN32" s="8">
        <f t="shared" si="64"/>
        <v>7.9202075816042772E-2</v>
      </c>
      <c r="AO32" s="8">
        <f t="shared" si="64"/>
        <v>9.6102338886572478E-2</v>
      </c>
      <c r="AP32" s="8">
        <f t="shared" si="64"/>
        <v>0.11253369429907116</v>
      </c>
      <c r="AQ32" s="8">
        <f t="shared" si="64"/>
        <v>0.12850940649137663</v>
      </c>
      <c r="AR32" s="8">
        <f t="shared" si="64"/>
        <v>0.14404236218332953</v>
      </c>
      <c r="AS32" s="8">
        <f t="shared" ref="AS32:AW32" si="65">+AS23/AS17</f>
        <v>0.15914508115665979</v>
      </c>
      <c r="AT32" s="8">
        <f t="shared" si="65"/>
        <v>0.17382972672699043</v>
      </c>
      <c r="AU32" s="8">
        <f t="shared" si="65"/>
        <v>0.18810811591675589</v>
      </c>
      <c r="AV32" s="8">
        <f t="shared" si="65"/>
        <v>0.20199172933757781</v>
      </c>
      <c r="AW32" s="8">
        <f t="shared" si="65"/>
        <v>0.21549172079039816</v>
      </c>
    </row>
    <row r="33" spans="2:49" s="8" customFormat="1" x14ac:dyDescent="0.2">
      <c r="B33" s="8" t="s">
        <v>33</v>
      </c>
      <c r="C33" s="8">
        <f t="shared" ref="C33:R33" si="66">+C27/C17</f>
        <v>0.28312916179535402</v>
      </c>
      <c r="D33" s="8">
        <f t="shared" si="66"/>
        <v>0.27543171514441445</v>
      </c>
      <c r="E33" s="8">
        <f t="shared" si="66"/>
        <v>0.35770112546894539</v>
      </c>
      <c r="F33" s="8">
        <f t="shared" si="66"/>
        <v>0.22661730319563522</v>
      </c>
      <c r="G33" s="8">
        <f t="shared" si="66"/>
        <v>0.37606930747016837</v>
      </c>
      <c r="H33" s="8">
        <f t="shared" si="66"/>
        <v>-2.3954049996736504E-2</v>
      </c>
      <c r="I33" s="8">
        <f t="shared" si="66"/>
        <v>0.10972747424696831</v>
      </c>
      <c r="J33" s="8">
        <f t="shared" si="66"/>
        <v>-1.4171770403076486E-2</v>
      </c>
      <c r="K33" s="8">
        <f t="shared" si="66"/>
        <v>-0.23081519419547589</v>
      </c>
      <c r="L33" s="8">
        <f t="shared" si="66"/>
        <v>0.1291991659587613</v>
      </c>
      <c r="M33" s="8">
        <f t="shared" si="66"/>
        <v>7.9531007204407408E-2</v>
      </c>
      <c r="N33" s="8">
        <f t="shared" si="66"/>
        <v>9.8533039075684795E-2</v>
      </c>
      <c r="O33" s="8">
        <f t="shared" si="66"/>
        <v>-6.994655768626218E-3</v>
      </c>
      <c r="P33" s="8">
        <f t="shared" si="66"/>
        <v>-4.605314423751266E-2</v>
      </c>
      <c r="Q33" s="8">
        <f t="shared" si="66"/>
        <v>-0.84372177055103881</v>
      </c>
      <c r="R33" s="8">
        <f t="shared" si="66"/>
        <v>-2.8892005610098175E-2</v>
      </c>
      <c r="X33" s="8">
        <f t="shared" ref="X33:AH33" si="67">+X27/X17</f>
        <v>0.21267227492393057</v>
      </c>
      <c r="Y33" s="8">
        <f t="shared" si="67"/>
        <v>0.21179658567428417</v>
      </c>
      <c r="Z33" s="8">
        <f t="shared" si="67"/>
        <v>0.20189603785340227</v>
      </c>
      <c r="AA33" s="8">
        <f t="shared" si="67"/>
        <v>0.11967623205493857</v>
      </c>
      <c r="AB33" s="8">
        <f t="shared" si="67"/>
        <v>0.30072831978319781</v>
      </c>
      <c r="AC33" s="8">
        <f t="shared" si="67"/>
        <v>0.27933022997290352</v>
      </c>
      <c r="AD33" s="8">
        <f t="shared" si="67"/>
        <v>0.27093634016977669</v>
      </c>
      <c r="AE33" s="8">
        <f t="shared" si="67"/>
        <v>0.28464770196396033</v>
      </c>
      <c r="AF33" s="8">
        <f t="shared" si="67"/>
        <v>0.12717670568084499</v>
      </c>
      <c r="AG33" s="8">
        <f t="shared" si="67"/>
        <v>2.9744781293796561E-2</v>
      </c>
      <c r="AH33" s="8">
        <f t="shared" si="67"/>
        <v>-0.23549462345341896</v>
      </c>
      <c r="AI33" s="8">
        <f t="shared" ref="AI33:AR33" si="68">+AI27/AI17</f>
        <v>-2.1360238036948455E-2</v>
      </c>
      <c r="AJ33" s="8">
        <f t="shared" si="68"/>
        <v>-6.5129274247880788E-3</v>
      </c>
      <c r="AK33" s="8">
        <f t="shared" si="68"/>
        <v>8.1284219472184411E-3</v>
      </c>
      <c r="AL33" s="8">
        <f t="shared" si="68"/>
        <v>2.2562838080197711E-2</v>
      </c>
      <c r="AM33" s="8">
        <f t="shared" si="68"/>
        <v>3.6789601316240865E-2</v>
      </c>
      <c r="AN33" s="8">
        <f t="shared" si="68"/>
        <v>5.0808229680951909E-2</v>
      </c>
      <c r="AO33" s="8">
        <f t="shared" si="68"/>
        <v>6.4618464892676128E-2</v>
      </c>
      <c r="AP33" s="8">
        <f t="shared" si="68"/>
        <v>7.8220259011100426E-2</v>
      </c>
      <c r="AQ33" s="8">
        <f t="shared" si="68"/>
        <v>9.1613761698973936E-2</v>
      </c>
      <c r="AR33" s="8">
        <f t="shared" si="68"/>
        <v>0.10479930807171246</v>
      </c>
      <c r="AS33" s="8">
        <f t="shared" ref="AS33:AW33" si="69">+AS27/AS17</f>
        <v>0.11777740711062915</v>
      </c>
      <c r="AT33" s="8">
        <f t="shared" si="69"/>
        <v>0.13054873061647496</v>
      </c>
      <c r="AU33" s="8">
        <f t="shared" si="69"/>
        <v>0.14311410268088048</v>
      </c>
      <c r="AV33" s="8">
        <f t="shared" si="69"/>
        <v>0.15547448965416122</v>
      </c>
      <c r="AW33" s="8">
        <f t="shared" si="69"/>
        <v>0.16763099058878939</v>
      </c>
    </row>
    <row r="34" spans="2:49" s="8" customFormat="1" x14ac:dyDescent="0.2">
      <c r="B34" s="8" t="s">
        <v>34</v>
      </c>
      <c r="C34" s="8">
        <f t="shared" ref="C34:R34" si="70">+C26/C25</f>
        <v>8.9125102207686019E-2</v>
      </c>
      <c r="D34" s="8">
        <f t="shared" si="70"/>
        <v>0.11229683139057627</v>
      </c>
      <c r="E34" s="8">
        <f t="shared" si="70"/>
        <v>5.0724637681159417E-3</v>
      </c>
      <c r="F34" s="8">
        <f t="shared" si="70"/>
        <v>0.109324143212713</v>
      </c>
      <c r="G34" s="8">
        <f t="shared" si="70"/>
        <v>0.18319526627218935</v>
      </c>
      <c r="H34" s="8">
        <f t="shared" si="70"/>
        <v>0.55352798053527985</v>
      </c>
      <c r="I34" s="8">
        <f t="shared" si="70"/>
        <v>-2.5357142857142856</v>
      </c>
      <c r="J34" s="8">
        <f t="shared" si="70"/>
        <v>0.40419161676646709</v>
      </c>
      <c r="K34" s="8">
        <f t="shared" si="70"/>
        <v>-1.4716636197440585</v>
      </c>
      <c r="L34" s="8">
        <f t="shared" si="70"/>
        <v>3.7159090909090908</v>
      </c>
      <c r="M34" s="8">
        <f t="shared" si="70"/>
        <v>-0.47382198952879578</v>
      </c>
      <c r="N34" s="8">
        <f t="shared" si="70"/>
        <v>7.7764277035236931E-2</v>
      </c>
      <c r="O34" s="8">
        <f t="shared" si="70"/>
        <v>0.76010781671159033</v>
      </c>
      <c r="P34" s="8">
        <f t="shared" si="70"/>
        <v>0.37194473963868224</v>
      </c>
      <c r="Q34" s="8">
        <f t="shared" si="70"/>
        <v>-2.3912254160363084</v>
      </c>
      <c r="R34" s="8">
        <f t="shared" si="70"/>
        <v>2.2117647058823531</v>
      </c>
      <c r="X34" s="8">
        <f t="shared" ref="X34:AH34" si="71">+X26/X25</f>
        <v>0.25639902371863071</v>
      </c>
      <c r="Y34" s="8">
        <f t="shared" si="71"/>
        <v>0.19233948746211077</v>
      </c>
      <c r="Z34" s="8">
        <f t="shared" si="71"/>
        <v>0.17932922655715264</v>
      </c>
      <c r="AA34" s="8">
        <f t="shared" si="71"/>
        <v>0.58870879421750077</v>
      </c>
      <c r="AB34" s="8">
        <f t="shared" si="71"/>
        <v>9.6054306321595243E-2</v>
      </c>
      <c r="AC34" s="8">
        <f t="shared" si="71"/>
        <v>0.13023537556247836</v>
      </c>
      <c r="AD34" s="8">
        <f t="shared" si="71"/>
        <v>0.16533470485836366</v>
      </c>
      <c r="AE34" s="8">
        <f t="shared" si="71"/>
        <v>7.542439064490937E-2</v>
      </c>
      <c r="AF34" s="8">
        <f t="shared" si="71"/>
        <v>-3.2046332046332046E-2</v>
      </c>
      <c r="AG34" s="8">
        <f t="shared" si="71"/>
        <v>-1.3042857142857143</v>
      </c>
      <c r="AH34" s="8">
        <f t="shared" si="71"/>
        <v>-1.7900490852298081</v>
      </c>
      <c r="AI34" s="8">
        <f t="shared" ref="AI34:AR34" si="72">+AI26/AI25</f>
        <v>0.25</v>
      </c>
      <c r="AJ34" s="8">
        <f t="shared" si="72"/>
        <v>0.25</v>
      </c>
      <c r="AK34" s="8">
        <f t="shared" si="72"/>
        <v>0.25</v>
      </c>
      <c r="AL34" s="8">
        <f t="shared" si="72"/>
        <v>0.25</v>
      </c>
      <c r="AM34" s="8">
        <f t="shared" si="72"/>
        <v>0.25</v>
      </c>
      <c r="AN34" s="8">
        <f t="shared" si="72"/>
        <v>0.25</v>
      </c>
      <c r="AO34" s="8">
        <f t="shared" si="72"/>
        <v>0.25</v>
      </c>
      <c r="AP34" s="8">
        <f t="shared" si="72"/>
        <v>0.25</v>
      </c>
      <c r="AQ34" s="8">
        <f t="shared" si="72"/>
        <v>0.25</v>
      </c>
      <c r="AR34" s="8">
        <f t="shared" si="72"/>
        <v>0.25</v>
      </c>
      <c r="AS34" s="8">
        <f t="shared" ref="AS34:AW34" si="73">+AS26/AS25</f>
        <v>0.25</v>
      </c>
      <c r="AT34" s="8">
        <f t="shared" si="73"/>
        <v>0.25</v>
      </c>
      <c r="AU34" s="8">
        <f t="shared" si="73"/>
        <v>0.25</v>
      </c>
      <c r="AV34" s="8">
        <f t="shared" si="73"/>
        <v>0.25</v>
      </c>
      <c r="AW34" s="8">
        <f t="shared" si="73"/>
        <v>0.25</v>
      </c>
    </row>
    <row r="35" spans="2:49" s="8" customFormat="1" x14ac:dyDescent="0.2"/>
    <row r="36" spans="2:49" s="9" customFormat="1" x14ac:dyDescent="0.2">
      <c r="B36" s="9" t="s">
        <v>35</v>
      </c>
      <c r="G36" s="9">
        <f t="shared" ref="G36:R36" si="74">+G17/C17-1</f>
        <v>-6.7097036547552502E-2</v>
      </c>
      <c r="H36" s="9">
        <f t="shared" si="74"/>
        <v>-0.2195507106107687</v>
      </c>
      <c r="I36" s="9">
        <f t="shared" si="74"/>
        <v>-0.20081283868278454</v>
      </c>
      <c r="J36" s="9">
        <f t="shared" si="74"/>
        <v>-0.31595869056897896</v>
      </c>
      <c r="K36" s="9">
        <f t="shared" si="74"/>
        <v>-0.36168473818994173</v>
      </c>
      <c r="L36" s="9">
        <f t="shared" si="74"/>
        <v>-0.15482018145029697</v>
      </c>
      <c r="M36" s="9">
        <f t="shared" si="74"/>
        <v>-7.6933107315164895E-2</v>
      </c>
      <c r="N36" s="9">
        <f t="shared" si="74"/>
        <v>9.7137159948725182E-2</v>
      </c>
      <c r="O36" s="9">
        <f t="shared" si="74"/>
        <v>8.6128894579598825E-2</v>
      </c>
      <c r="P36" s="9">
        <f t="shared" si="74"/>
        <v>-8.9582207120241231E-3</v>
      </c>
      <c r="Q36" s="9">
        <f t="shared" si="74"/>
        <v>-6.1731883034326862E-2</v>
      </c>
      <c r="R36" s="9">
        <f t="shared" si="74"/>
        <v>-7.4386602622354969E-2</v>
      </c>
      <c r="X36" s="5"/>
      <c r="Y36" s="9">
        <f t="shared" ref="Y36:AR36" si="75">+Y17/X17-1</f>
        <v>-9.2178270986218447E-3</v>
      </c>
      <c r="Z36" s="9">
        <f t="shared" si="75"/>
        <v>7.283894860446205E-2</v>
      </c>
      <c r="AA36" s="9">
        <f t="shared" si="75"/>
        <v>5.6813780793776525E-2</v>
      </c>
      <c r="AB36" s="9">
        <f t="shared" si="75"/>
        <v>0.12885390608817571</v>
      </c>
      <c r="AC36" s="9">
        <f t="shared" si="75"/>
        <v>1.576614724480585E-2</v>
      </c>
      <c r="AD36" s="9">
        <f t="shared" si="75"/>
        <v>8.2012089210032668E-2</v>
      </c>
      <c r="AE36" s="9">
        <f t="shared" si="75"/>
        <v>1.4858669269395275E-2</v>
      </c>
      <c r="AF36" s="9">
        <f t="shared" si="75"/>
        <v>-0.20209050415063778</v>
      </c>
      <c r="AG36" s="9">
        <f t="shared" si="75"/>
        <v>-0.13997525930155108</v>
      </c>
      <c r="AH36" s="9">
        <f t="shared" si="75"/>
        <v>-2.0782621523935951E-2</v>
      </c>
      <c r="AI36" s="9">
        <f t="shared" si="75"/>
        <v>5.0000000000000044E-2</v>
      </c>
      <c r="AJ36" s="9">
        <f t="shared" si="75"/>
        <v>5.0000000000000044E-2</v>
      </c>
      <c r="AK36" s="9">
        <f t="shared" si="75"/>
        <v>5.0000000000000044E-2</v>
      </c>
      <c r="AL36" s="9">
        <f t="shared" si="75"/>
        <v>5.0000000000000044E-2</v>
      </c>
      <c r="AM36" s="9">
        <f t="shared" si="75"/>
        <v>5.0000000000000044E-2</v>
      </c>
      <c r="AN36" s="9">
        <f t="shared" si="75"/>
        <v>5.0000000000000044E-2</v>
      </c>
      <c r="AO36" s="9">
        <f t="shared" si="75"/>
        <v>5.0000000000000044E-2</v>
      </c>
      <c r="AP36" s="9">
        <f t="shared" si="75"/>
        <v>5.0000000000000044E-2</v>
      </c>
      <c r="AQ36" s="9">
        <f t="shared" si="75"/>
        <v>5.0000000000000044E-2</v>
      </c>
      <c r="AR36" s="9">
        <f t="shared" si="75"/>
        <v>5.0000000000000044E-2</v>
      </c>
      <c r="AS36" s="9">
        <f t="shared" ref="AS36:AW36" si="76">+AS17/AR17-1</f>
        <v>5.0000000000000044E-2</v>
      </c>
      <c r="AT36" s="9">
        <f t="shared" si="76"/>
        <v>5.0000000000000044E-2</v>
      </c>
      <c r="AU36" s="9">
        <f t="shared" si="76"/>
        <v>5.0000000000000044E-2</v>
      </c>
      <c r="AV36" s="9">
        <f t="shared" si="76"/>
        <v>5.0000000000000044E-2</v>
      </c>
      <c r="AW36" s="9">
        <f t="shared" si="76"/>
        <v>5.0000000000000044E-2</v>
      </c>
    </row>
    <row r="37" spans="2:49" s="9" customFormat="1" x14ac:dyDescent="0.2">
      <c r="X37" s="5"/>
    </row>
    <row r="38" spans="2:49" s="8" customFormat="1" x14ac:dyDescent="0.2">
      <c r="B38" s="8" t="s">
        <v>185</v>
      </c>
      <c r="X38" s="1"/>
    </row>
    <row r="39" spans="2:49" x14ac:dyDescent="0.2">
      <c r="B39" s="1" t="s">
        <v>36</v>
      </c>
      <c r="K39" s="1">
        <f t="shared" ref="K39:P39" si="77">+K40-K52</f>
        <v>-22739</v>
      </c>
      <c r="L39" s="1">
        <f t="shared" si="77"/>
        <v>-24789</v>
      </c>
      <c r="M39" s="1">
        <f t="shared" si="77"/>
        <v>-23849</v>
      </c>
      <c r="N39" s="1">
        <f t="shared" si="77"/>
        <v>-24232</v>
      </c>
      <c r="O39" s="1">
        <f t="shared" si="77"/>
        <v>-31139</v>
      </c>
      <c r="P39" s="1">
        <f t="shared" si="77"/>
        <v>-23756</v>
      </c>
      <c r="Q39" s="1">
        <f t="shared" ref="Q39:R39" si="78">+Q40-Q52</f>
        <v>-26150</v>
      </c>
      <c r="R39" s="1">
        <f t="shared" si="78"/>
        <v>-27949</v>
      </c>
      <c r="AG39" s="1">
        <f>+O39</f>
        <v>-31139</v>
      </c>
      <c r="AH39" s="1">
        <f t="shared" ref="AH39:AR39" si="79">+AH27+AG39</f>
        <v>-43644</v>
      </c>
      <c r="AI39" s="1">
        <f t="shared" si="79"/>
        <v>-44834.962500000001</v>
      </c>
      <c r="AJ39" s="1">
        <f t="shared" si="79"/>
        <v>-45216.254362499996</v>
      </c>
      <c r="AK39" s="1">
        <f t="shared" si="79"/>
        <v>-44716.591770187493</v>
      </c>
      <c r="AL39" s="1">
        <f t="shared" si="79"/>
        <v>-43260.282470522798</v>
      </c>
      <c r="AM39" s="1">
        <f t="shared" si="79"/>
        <v>-40766.983965510648</v>
      </c>
      <c r="AN39" s="1">
        <f t="shared" si="79"/>
        <v>-37151.44907243739</v>
      </c>
      <c r="AO39" s="1">
        <f t="shared" si="79"/>
        <v>-32323.258209962158</v>
      </c>
      <c r="AP39" s="1">
        <f t="shared" si="79"/>
        <v>-26186.537731266952</v>
      </c>
      <c r="AQ39" s="1">
        <f t="shared" si="79"/>
        <v>-18639.663591639743</v>
      </c>
      <c r="AR39" s="1">
        <f t="shared" si="79"/>
        <v>-9574.9496018048048</v>
      </c>
      <c r="AS39" s="1">
        <f t="shared" ref="AS39:AW39" si="80">+AS27+AR39</f>
        <v>1121.6805195623474</v>
      </c>
      <c r="AT39" s="1">
        <f t="shared" si="80"/>
        <v>13571.038120482293</v>
      </c>
      <c r="AU39" s="1">
        <f t="shared" si="80"/>
        <v>27901.032485616503</v>
      </c>
      <c r="AV39" s="1">
        <f t="shared" si="80"/>
        <v>44247.052513537114</v>
      </c>
      <c r="AW39" s="1">
        <f t="shared" si="80"/>
        <v>62752.368159451791</v>
      </c>
    </row>
    <row r="40" spans="2:49" x14ac:dyDescent="0.2">
      <c r="B40" t="s">
        <v>37</v>
      </c>
      <c r="K40" s="1">
        <f>8232+19302</f>
        <v>27534</v>
      </c>
      <c r="L40" s="1">
        <f>8349+15908</f>
        <v>24257</v>
      </c>
      <c r="M40" s="1">
        <f>7621+17409</f>
        <v>25030</v>
      </c>
      <c r="N40" s="1">
        <f>7079+17955</f>
        <v>25034</v>
      </c>
      <c r="O40" s="1">
        <f>6923+14388</f>
        <v>21311</v>
      </c>
      <c r="P40" s="1">
        <f>11287+17986</f>
        <v>29273</v>
      </c>
      <c r="Q40" s="1">
        <f>8785+15301</f>
        <v>24086</v>
      </c>
      <c r="R40" s="1">
        <f>8249+13813</f>
        <v>22062</v>
      </c>
    </row>
    <row r="41" spans="2:49" x14ac:dyDescent="0.2">
      <c r="B41" t="s">
        <v>38</v>
      </c>
      <c r="K41" s="1">
        <v>3847</v>
      </c>
      <c r="L41" s="1">
        <v>2996</v>
      </c>
      <c r="M41" s="1">
        <v>2843</v>
      </c>
      <c r="N41" s="1">
        <v>3402</v>
      </c>
      <c r="O41" s="1">
        <v>3323</v>
      </c>
      <c r="P41" s="1">
        <v>3131</v>
      </c>
      <c r="Q41" s="1">
        <v>3121</v>
      </c>
      <c r="R41" s="1">
        <v>3478</v>
      </c>
    </row>
    <row r="42" spans="2:49" x14ac:dyDescent="0.2">
      <c r="B42" t="s">
        <v>162</v>
      </c>
      <c r="N42" s="1">
        <v>1166</v>
      </c>
      <c r="P42" s="1">
        <v>1284</v>
      </c>
      <c r="Q42" s="1">
        <v>1434</v>
      </c>
      <c r="R42" s="1">
        <v>1344</v>
      </c>
    </row>
    <row r="43" spans="2:49" x14ac:dyDescent="0.2">
      <c r="B43" t="s">
        <v>163</v>
      </c>
      <c r="N43" s="1">
        <v>6203</v>
      </c>
      <c r="P43" s="1">
        <v>6294</v>
      </c>
      <c r="Q43" s="1">
        <v>6971</v>
      </c>
      <c r="R43" s="1">
        <v>7432</v>
      </c>
    </row>
    <row r="44" spans="2:49" x14ac:dyDescent="0.2">
      <c r="B44" t="s">
        <v>164</v>
      </c>
      <c r="N44" s="1">
        <v>3758</v>
      </c>
      <c r="P44" s="1">
        <v>3666</v>
      </c>
      <c r="Q44" s="1">
        <v>3657</v>
      </c>
      <c r="R44" s="1">
        <v>3422</v>
      </c>
    </row>
    <row r="45" spans="2:49" x14ac:dyDescent="0.2">
      <c r="B45" t="s">
        <v>39</v>
      </c>
      <c r="K45" s="1">
        <v>12993</v>
      </c>
      <c r="L45" s="1">
        <v>11984</v>
      </c>
      <c r="M45" s="1">
        <v>11466</v>
      </c>
      <c r="N45" s="1">
        <f>+SUM(N42:N44)</f>
        <v>11127</v>
      </c>
      <c r="O45" s="1">
        <v>11494</v>
      </c>
      <c r="P45" s="1">
        <f>+SUM(P42:P44)</f>
        <v>11244</v>
      </c>
      <c r="Q45" s="1">
        <f>+SUM(Q42:Q44)</f>
        <v>12062</v>
      </c>
      <c r="R45" s="1">
        <f>+SUM(R42:R44)</f>
        <v>12198</v>
      </c>
    </row>
    <row r="46" spans="2:49" x14ac:dyDescent="0.2">
      <c r="B46" t="s">
        <v>43</v>
      </c>
      <c r="K46" s="1">
        <v>3940</v>
      </c>
      <c r="L46" s="1">
        <v>4119</v>
      </c>
      <c r="M46" s="1">
        <v>4472</v>
      </c>
      <c r="N46" s="1">
        <v>3706</v>
      </c>
      <c r="O46" s="1">
        <v>6480</v>
      </c>
      <c r="P46" s="1">
        <v>7181</v>
      </c>
      <c r="Q46" s="1">
        <v>6868</v>
      </c>
      <c r="R46" s="1">
        <v>9586</v>
      </c>
    </row>
    <row r="47" spans="2:49" x14ac:dyDescent="0.2">
      <c r="B47" t="s">
        <v>41</v>
      </c>
      <c r="K47" s="1">
        <v>85734</v>
      </c>
      <c r="L47" s="1">
        <v>90945</v>
      </c>
      <c r="M47" s="1">
        <v>93352</v>
      </c>
      <c r="N47" s="1">
        <v>96647</v>
      </c>
      <c r="O47" s="1">
        <v>99924</v>
      </c>
      <c r="P47" s="1">
        <v>103398</v>
      </c>
      <c r="Q47" s="1">
        <v>104248</v>
      </c>
      <c r="R47" s="1">
        <v>107919</v>
      </c>
    </row>
    <row r="48" spans="2:49" x14ac:dyDescent="0.2">
      <c r="B48" t="s">
        <v>172</v>
      </c>
      <c r="K48" s="1">
        <v>6029</v>
      </c>
      <c r="L48" s="1">
        <v>5893</v>
      </c>
      <c r="M48" s="1">
        <v>5700</v>
      </c>
      <c r="N48" s="1">
        <v>5829</v>
      </c>
      <c r="O48" s="1">
        <v>6139</v>
      </c>
      <c r="P48" s="1">
        <v>5824</v>
      </c>
      <c r="Q48" s="1">
        <v>5496</v>
      </c>
      <c r="R48" s="1">
        <v>5383</v>
      </c>
    </row>
    <row r="49" spans="2:44" x14ac:dyDescent="0.2">
      <c r="B49" t="s">
        <v>42</v>
      </c>
      <c r="K49" s="1">
        <f>27591+5567</f>
        <v>33158</v>
      </c>
      <c r="L49" s="1">
        <f>27591+5173</f>
        <v>32764</v>
      </c>
      <c r="M49" s="1">
        <f>27591+4970</f>
        <v>32561</v>
      </c>
      <c r="N49" s="1">
        <f>27591+4589</f>
        <v>32180</v>
      </c>
      <c r="O49" s="1">
        <f>27440+4675</f>
        <v>32115</v>
      </c>
      <c r="P49" s="1">
        <f>27442+4383</f>
        <v>31825</v>
      </c>
      <c r="Q49" s="1">
        <f>24680+3975</f>
        <v>28655</v>
      </c>
      <c r="R49" s="1">
        <f>24693+3691</f>
        <v>28384</v>
      </c>
    </row>
    <row r="50" spans="2:44" x14ac:dyDescent="0.2">
      <c r="B50" t="s">
        <v>44</v>
      </c>
      <c r="K50" s="1">
        <v>12068</v>
      </c>
      <c r="L50" s="1">
        <v>12671</v>
      </c>
      <c r="M50" s="1">
        <v>13413</v>
      </c>
      <c r="N50" s="1">
        <v>13647</v>
      </c>
      <c r="O50" s="1">
        <v>11947</v>
      </c>
      <c r="P50" s="1">
        <v>14329</v>
      </c>
      <c r="Q50" s="1">
        <v>9006</v>
      </c>
      <c r="R50" s="1">
        <v>7475</v>
      </c>
    </row>
    <row r="51" spans="2:44" s="4" customFormat="1" x14ac:dyDescent="0.2">
      <c r="B51" s="4" t="s">
        <v>40</v>
      </c>
      <c r="C51" s="5"/>
      <c r="D51" s="5"/>
      <c r="E51" s="5"/>
      <c r="F51" s="5"/>
      <c r="G51" s="5"/>
      <c r="H51" s="5"/>
      <c r="I51" s="5"/>
      <c r="J51" s="5"/>
      <c r="K51" s="5">
        <f t="shared" ref="K51:O51" si="81">+SUM(K45:K50)+SUM(K40:K41)</f>
        <v>185303</v>
      </c>
      <c r="L51" s="5">
        <f t="shared" si="81"/>
        <v>185629</v>
      </c>
      <c r="M51" s="5">
        <f t="shared" si="81"/>
        <v>188837</v>
      </c>
      <c r="N51" s="5">
        <f t="shared" si="81"/>
        <v>191572</v>
      </c>
      <c r="O51" s="5">
        <f t="shared" si="81"/>
        <v>192733</v>
      </c>
      <c r="P51" s="5">
        <f>+SUM(P45:P50)+SUM(P40:P41)</f>
        <v>206205</v>
      </c>
      <c r="Q51" s="5">
        <f>+SUM(Q45:Q50)+SUM(Q40:Q41)</f>
        <v>193542</v>
      </c>
      <c r="R51" s="5">
        <f>+SUM(R45:R50)+SUM(R40:R41)</f>
        <v>196485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2:44" x14ac:dyDescent="0.2">
      <c r="B52" t="s">
        <v>45</v>
      </c>
      <c r="K52" s="1">
        <f>1437+48836</f>
        <v>50273</v>
      </c>
      <c r="L52" s="1">
        <f>2711+46335</f>
        <v>49046</v>
      </c>
      <c r="M52" s="1">
        <f>2288+46591</f>
        <v>48879</v>
      </c>
      <c r="N52" s="1">
        <f>2288+46978</f>
        <v>49266</v>
      </c>
      <c r="O52" s="1">
        <f>4581+47869</f>
        <v>52450</v>
      </c>
      <c r="P52" s="1">
        <f>4695+48334</f>
        <v>53029</v>
      </c>
      <c r="Q52" s="1">
        <f>3765+46471</f>
        <v>50236</v>
      </c>
      <c r="R52" s="1">
        <f>3729+46282</f>
        <v>50011</v>
      </c>
    </row>
    <row r="53" spans="2:44" x14ac:dyDescent="0.2">
      <c r="B53" t="s">
        <v>46</v>
      </c>
      <c r="K53" s="1">
        <v>8083</v>
      </c>
      <c r="L53" s="1">
        <v>8757</v>
      </c>
      <c r="M53" s="1">
        <v>8669</v>
      </c>
      <c r="N53" s="1">
        <v>8578</v>
      </c>
      <c r="O53" s="1">
        <v>8559</v>
      </c>
      <c r="P53" s="1">
        <v>9618</v>
      </c>
      <c r="Q53" s="1">
        <v>11074</v>
      </c>
      <c r="R53" s="1">
        <v>12556</v>
      </c>
    </row>
    <row r="54" spans="2:44" x14ac:dyDescent="0.2">
      <c r="B54" t="s">
        <v>50</v>
      </c>
      <c r="K54" s="1">
        <v>2497</v>
      </c>
      <c r="L54" s="1">
        <v>2887</v>
      </c>
      <c r="M54" s="1">
        <v>3115</v>
      </c>
      <c r="N54" s="1">
        <v>3655</v>
      </c>
      <c r="O54" s="1">
        <v>2506</v>
      </c>
      <c r="P54" s="1">
        <v>2651</v>
      </c>
      <c r="Q54" s="1">
        <v>5015</v>
      </c>
      <c r="R54" s="1">
        <v>3343</v>
      </c>
    </row>
    <row r="55" spans="2:44" x14ac:dyDescent="0.2">
      <c r="B55" t="s">
        <v>27</v>
      </c>
      <c r="K55" s="1">
        <f>4046+3831</f>
        <v>7877</v>
      </c>
      <c r="L55" s="1">
        <v>2169</v>
      </c>
      <c r="M55" s="1">
        <v>2112</v>
      </c>
      <c r="N55" s="1">
        <v>1107</v>
      </c>
      <c r="O55" s="1">
        <v>346</v>
      </c>
      <c r="P55" s="1">
        <v>1856</v>
      </c>
      <c r="Q55" s="1">
        <v>2440</v>
      </c>
      <c r="R55" s="1">
        <v>1756</v>
      </c>
    </row>
    <row r="56" spans="2:44" x14ac:dyDescent="0.2">
      <c r="B56" t="s">
        <v>25</v>
      </c>
      <c r="K56" s="1">
        <f>11330+4840</f>
        <v>16170</v>
      </c>
      <c r="L56" s="1">
        <f>10656+7643</f>
        <v>18299</v>
      </c>
      <c r="M56" s="1">
        <f>12430+7946</f>
        <v>20376</v>
      </c>
      <c r="N56" s="1">
        <f>12425+6576</f>
        <v>19001</v>
      </c>
      <c r="O56" s="1">
        <f>11221+6895</f>
        <v>18116</v>
      </c>
      <c r="P56" s="1">
        <f>13207+5410</f>
        <v>18617</v>
      </c>
      <c r="Q56" s="1">
        <v>12865</v>
      </c>
      <c r="R56" s="1">
        <f>14282+9505</f>
        <v>23787</v>
      </c>
    </row>
    <row r="57" spans="2:44" s="4" customFormat="1" x14ac:dyDescent="0.2">
      <c r="B57" s="4" t="s">
        <v>47</v>
      </c>
      <c r="C57" s="5"/>
      <c r="D57" s="5"/>
      <c r="E57" s="5"/>
      <c r="F57" s="5"/>
      <c r="G57" s="5"/>
      <c r="H57" s="5"/>
      <c r="I57" s="5"/>
      <c r="J57" s="5"/>
      <c r="K57" s="5">
        <f t="shared" ref="K57:P57" si="82">SUM(K52:K56)</f>
        <v>84900</v>
      </c>
      <c r="L57" s="5">
        <f t="shared" si="82"/>
        <v>81158</v>
      </c>
      <c r="M57" s="5">
        <f t="shared" si="82"/>
        <v>83151</v>
      </c>
      <c r="N57" s="5">
        <f t="shared" si="82"/>
        <v>81607</v>
      </c>
      <c r="O57" s="5">
        <f t="shared" si="82"/>
        <v>81977</v>
      </c>
      <c r="P57" s="5">
        <f t="shared" si="82"/>
        <v>85771</v>
      </c>
      <c r="Q57" s="5">
        <f t="shared" ref="Q57:R57" si="83">SUM(Q52:Q56)</f>
        <v>81630</v>
      </c>
      <c r="R57" s="5">
        <f t="shared" si="83"/>
        <v>91453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2:44" x14ac:dyDescent="0.2">
      <c r="B58" t="s">
        <v>49</v>
      </c>
      <c r="K58" s="1">
        <f t="shared" ref="K58:P58" si="84">+K51-K57</f>
        <v>100403</v>
      </c>
      <c r="L58" s="1">
        <f t="shared" si="84"/>
        <v>104471</v>
      </c>
      <c r="M58" s="1">
        <f t="shared" si="84"/>
        <v>105686</v>
      </c>
      <c r="N58" s="1">
        <f t="shared" si="84"/>
        <v>109965</v>
      </c>
      <c r="O58" s="1">
        <f t="shared" si="84"/>
        <v>110756</v>
      </c>
      <c r="P58" s="1">
        <f t="shared" si="84"/>
        <v>120434</v>
      </c>
      <c r="Q58" s="1">
        <f>+Q51-Q57</f>
        <v>111912</v>
      </c>
      <c r="R58" s="1">
        <v>105032</v>
      </c>
    </row>
    <row r="59" spans="2:44" x14ac:dyDescent="0.2">
      <c r="B59" t="s">
        <v>48</v>
      </c>
      <c r="K59" s="1">
        <f t="shared" ref="K59:P59" si="85">+K58+K57</f>
        <v>185303</v>
      </c>
      <c r="L59" s="1">
        <f t="shared" si="85"/>
        <v>185629</v>
      </c>
      <c r="M59" s="1">
        <f t="shared" si="85"/>
        <v>188837</v>
      </c>
      <c r="N59" s="1">
        <f t="shared" si="85"/>
        <v>191572</v>
      </c>
      <c r="O59" s="1">
        <f t="shared" si="85"/>
        <v>192733</v>
      </c>
      <c r="P59" s="1">
        <f t="shared" si="85"/>
        <v>206205</v>
      </c>
      <c r="Q59" s="1">
        <f>+Q58+Q57</f>
        <v>193542</v>
      </c>
      <c r="R59" s="1">
        <f>+R58+R57</f>
        <v>196485</v>
      </c>
    </row>
    <row r="61" spans="2:44" x14ac:dyDescent="0.2">
      <c r="B61" t="s">
        <v>181</v>
      </c>
      <c r="K61" s="1">
        <f t="shared" ref="K61:R61" si="86">+SUM(H27:K27)</f>
        <v>-1587</v>
      </c>
      <c r="L61" s="1">
        <f t="shared" si="86"/>
        <v>453</v>
      </c>
      <c r="M61" s="1">
        <f t="shared" si="86"/>
        <v>-104</v>
      </c>
      <c r="N61" s="1">
        <f t="shared" si="86"/>
        <v>1613</v>
      </c>
      <c r="O61" s="1">
        <f t="shared" si="86"/>
        <v>4228</v>
      </c>
      <c r="P61" s="1">
        <f t="shared" si="86"/>
        <v>1964</v>
      </c>
      <c r="Q61" s="1">
        <f t="shared" si="86"/>
        <v>-10370</v>
      </c>
      <c r="R61" s="1">
        <f t="shared" si="86"/>
        <v>-12300</v>
      </c>
    </row>
    <row r="62" spans="2:44" s="8" customFormat="1" x14ac:dyDescent="0.2">
      <c r="B62" s="8" t="s">
        <v>155</v>
      </c>
      <c r="K62" s="8">
        <f t="shared" ref="K62:R62" si="87">+K61/K58</f>
        <v>-1.5806300608547555E-2</v>
      </c>
      <c r="L62" s="8">
        <f t="shared" si="87"/>
        <v>4.33613155804003E-3</v>
      </c>
      <c r="M62" s="8">
        <f t="shared" si="87"/>
        <v>-9.8404708286811866E-4</v>
      </c>
      <c r="N62" s="8">
        <f t="shared" si="87"/>
        <v>1.4668303551129904E-2</v>
      </c>
      <c r="O62" s="8">
        <f t="shared" si="87"/>
        <v>3.817400411715844E-2</v>
      </c>
      <c r="P62" s="8">
        <f t="shared" si="87"/>
        <v>1.6307687197967352E-2</v>
      </c>
      <c r="Q62" s="8">
        <f t="shared" si="87"/>
        <v>-9.2662091643434127E-2</v>
      </c>
      <c r="R62" s="8">
        <f t="shared" si="87"/>
        <v>-0.11710716733947749</v>
      </c>
    </row>
    <row r="63" spans="2:44" s="8" customFormat="1" x14ac:dyDescent="0.2">
      <c r="B63" s="8" t="s">
        <v>156</v>
      </c>
      <c r="K63" s="8">
        <f t="shared" ref="K63:R63" si="88">+K61/K51</f>
        <v>-8.5643513596649814E-3</v>
      </c>
      <c r="L63" s="8">
        <f t="shared" si="88"/>
        <v>2.4403514537060479E-3</v>
      </c>
      <c r="M63" s="8">
        <f t="shared" si="88"/>
        <v>-5.5073952668174136E-4</v>
      </c>
      <c r="N63" s="8">
        <f t="shared" si="88"/>
        <v>8.4198108283047631E-3</v>
      </c>
      <c r="O63" s="8">
        <f t="shared" si="88"/>
        <v>2.1937083945146912E-2</v>
      </c>
      <c r="P63" s="8">
        <f t="shared" si="88"/>
        <v>9.5245023156567497E-3</v>
      </c>
      <c r="Q63" s="8">
        <f t="shared" si="88"/>
        <v>-5.3580101476682067E-2</v>
      </c>
      <c r="R63" s="8">
        <f t="shared" si="88"/>
        <v>-6.2600198488434233E-2</v>
      </c>
    </row>
    <row r="64" spans="2:44" s="8" customFormat="1" x14ac:dyDescent="0.2">
      <c r="B64" s="8" t="s">
        <v>157</v>
      </c>
      <c r="K64" s="8">
        <f t="shared" ref="K64:R64" si="89">+K61/(K58-K49)</f>
        <v>-2.3600267677894266E-2</v>
      </c>
      <c r="L64" s="8">
        <f t="shared" si="89"/>
        <v>6.3173748727460358E-3</v>
      </c>
      <c r="M64" s="8">
        <f t="shared" si="89"/>
        <v>-1.4222222222222223E-3</v>
      </c>
      <c r="N64" s="8">
        <f t="shared" si="89"/>
        <v>2.0736645882882303E-2</v>
      </c>
      <c r="O64" s="8">
        <f t="shared" si="89"/>
        <v>5.3763304128889508E-2</v>
      </c>
      <c r="P64" s="8">
        <f t="shared" si="89"/>
        <v>2.2164791386879438E-2</v>
      </c>
      <c r="Q64" s="8">
        <f t="shared" si="89"/>
        <v>-0.12455409154785783</v>
      </c>
      <c r="R64" s="8">
        <f t="shared" si="89"/>
        <v>-0.16047385450370524</v>
      </c>
    </row>
    <row r="65" spans="2:18" s="8" customFormat="1" x14ac:dyDescent="0.2">
      <c r="B65" s="8" t="s">
        <v>182</v>
      </c>
      <c r="K65" s="8">
        <f t="shared" ref="K65:R65" si="90">+K61/(K41+K45+K46+K47+K50)</f>
        <v>-1.3383144153412829E-2</v>
      </c>
      <c r="L65" s="8">
        <f t="shared" si="90"/>
        <v>3.6914802591370248E-3</v>
      </c>
      <c r="M65" s="8">
        <f t="shared" si="90"/>
        <v>-8.283816290443343E-4</v>
      </c>
      <c r="N65" s="8">
        <f t="shared" si="90"/>
        <v>1.2549696955550887E-2</v>
      </c>
      <c r="O65" s="8">
        <f t="shared" si="90"/>
        <v>3.1749369217830108E-2</v>
      </c>
      <c r="P65" s="8">
        <f t="shared" si="90"/>
        <v>1.4100787605091791E-2</v>
      </c>
      <c r="Q65" s="8">
        <f t="shared" si="90"/>
        <v>-7.6641661431580507E-2</v>
      </c>
      <c r="R65" s="8">
        <f t="shared" si="90"/>
        <v>-8.7447389375497675E-2</v>
      </c>
    </row>
    <row r="67" spans="2:18" x14ac:dyDescent="0.2">
      <c r="B67" t="s">
        <v>51</v>
      </c>
      <c r="K67" s="1">
        <f t="shared" ref="K67:R67" si="91">+K27</f>
        <v>-2704</v>
      </c>
      <c r="L67" s="1">
        <f t="shared" si="91"/>
        <v>1673</v>
      </c>
      <c r="M67" s="1">
        <f t="shared" si="91"/>
        <v>1126</v>
      </c>
      <c r="N67" s="1">
        <f t="shared" si="91"/>
        <v>1518</v>
      </c>
      <c r="O67" s="1">
        <f t="shared" si="91"/>
        <v>-89</v>
      </c>
      <c r="P67" s="1">
        <f t="shared" si="91"/>
        <v>-591</v>
      </c>
      <c r="Q67" s="1">
        <f t="shared" si="91"/>
        <v>-11208</v>
      </c>
      <c r="R67" s="1">
        <f t="shared" si="91"/>
        <v>-412</v>
      </c>
    </row>
    <row r="68" spans="2:18" x14ac:dyDescent="0.2">
      <c r="B68" t="s">
        <v>52</v>
      </c>
      <c r="K68" s="1">
        <v>-2768</v>
      </c>
      <c r="L68" s="1">
        <f>-1295-SUM(K68)</f>
        <v>1473</v>
      </c>
      <c r="M68" s="1">
        <f>-985-SUM(K68:L68)</f>
        <v>310</v>
      </c>
      <c r="N68" s="1">
        <f>1675-SUM(K68:M68)</f>
        <v>2660</v>
      </c>
      <c r="O68" s="1">
        <v>-437</v>
      </c>
      <c r="P68" s="1">
        <f>-2091-O68</f>
        <v>-1654</v>
      </c>
      <c r="Q68" s="1">
        <f>-19080-SUM(O68:P68)</f>
        <v>-16989</v>
      </c>
      <c r="R68" s="1">
        <f>-19233-SUM(O68:Q68)</f>
        <v>-153</v>
      </c>
    </row>
    <row r="69" spans="2:18" x14ac:dyDescent="0.2">
      <c r="B69" t="s">
        <v>56</v>
      </c>
      <c r="K69" s="1">
        <v>1901</v>
      </c>
      <c r="L69" s="1">
        <f>3733-SUM(K69)</f>
        <v>1832</v>
      </c>
      <c r="M69" s="1">
        <f>5753-SUM(K69:L69)</f>
        <v>2020</v>
      </c>
      <c r="N69" s="1">
        <f>7847-SUM(K69:M69)</f>
        <v>2094</v>
      </c>
      <c r="O69" s="1">
        <v>2200</v>
      </c>
      <c r="P69" s="1">
        <f>4403-O69</f>
        <v>2203</v>
      </c>
      <c r="Q69" s="1">
        <f>7651-SUM(O69:P69)</f>
        <v>3248</v>
      </c>
      <c r="R69" s="1">
        <f>9951-SUM(O69:Q69)</f>
        <v>2300</v>
      </c>
    </row>
    <row r="70" spans="2:18" x14ac:dyDescent="0.2">
      <c r="B70" t="s">
        <v>53</v>
      </c>
      <c r="K70" s="1">
        <v>739</v>
      </c>
      <c r="L70" s="1">
        <f>1661-SUM(K70)</f>
        <v>922</v>
      </c>
      <c r="M70" s="1">
        <f>2433-SUM(K70:L70)</f>
        <v>772</v>
      </c>
      <c r="N70" s="1">
        <f>3229-SUM(K70:M70)</f>
        <v>796</v>
      </c>
      <c r="O70" s="1">
        <v>1179</v>
      </c>
      <c r="P70" s="1">
        <f>1959-O70</f>
        <v>780</v>
      </c>
      <c r="Q70" s="1">
        <f>2759-SUM(O70:P70)</f>
        <v>800</v>
      </c>
      <c r="R70" s="1">
        <f>3410-SUM(O70:Q70)</f>
        <v>651</v>
      </c>
    </row>
    <row r="71" spans="2:18" x14ac:dyDescent="0.2">
      <c r="B71" t="s">
        <v>54</v>
      </c>
      <c r="K71" s="1">
        <v>55</v>
      </c>
      <c r="L71" s="1">
        <f>255-SUM(K71)</f>
        <v>200</v>
      </c>
      <c r="M71" s="1">
        <f>718-SUM(K71:L71)</f>
        <v>463</v>
      </c>
      <c r="N71" s="1">
        <f>+-424-SUM(K71:M71)</f>
        <v>-1142</v>
      </c>
      <c r="O71" s="1">
        <v>348</v>
      </c>
      <c r="P71" s="1">
        <f>1291-O71</f>
        <v>943</v>
      </c>
      <c r="Q71" s="1">
        <f>3626-SUM(O71:P71)</f>
        <v>2335</v>
      </c>
      <c r="R71" s="1">
        <f>3491-SUM(O71:Q71)</f>
        <v>-135</v>
      </c>
    </row>
    <row r="72" spans="2:18" x14ac:dyDescent="0.2">
      <c r="B72" t="s">
        <v>55</v>
      </c>
      <c r="K72" s="1">
        <v>465</v>
      </c>
      <c r="L72" s="1">
        <f>909-SUM(K72)</f>
        <v>444</v>
      </c>
      <c r="M72" s="1">
        <f>1336-SUM(K72:L72)</f>
        <v>427</v>
      </c>
      <c r="N72" s="1">
        <f>1755-SUM(K72:M72)</f>
        <v>419</v>
      </c>
      <c r="O72" s="1">
        <v>351</v>
      </c>
      <c r="P72" s="1">
        <f>717-O72</f>
        <v>366</v>
      </c>
      <c r="Q72" s="1">
        <f>1081-SUM(O72:P72)</f>
        <v>364</v>
      </c>
      <c r="R72" s="1">
        <f>1428-SUM(O72:Q72)</f>
        <v>347</v>
      </c>
    </row>
    <row r="73" spans="2:18" x14ac:dyDescent="0.2">
      <c r="B73" t="s">
        <v>57</v>
      </c>
      <c r="K73" s="1">
        <v>-167</v>
      </c>
      <c r="L73" s="1">
        <f>+-146-SUM(K73)</f>
        <v>21</v>
      </c>
      <c r="M73" s="1">
        <f>47-SUM(K73:L73)</f>
        <v>193</v>
      </c>
      <c r="N73" s="1">
        <f>-42-SUM(K73:M73)</f>
        <v>-89</v>
      </c>
      <c r="O73" s="1">
        <v>-208</v>
      </c>
      <c r="P73" s="1">
        <f>-84-O73</f>
        <v>124</v>
      </c>
      <c r="Q73" s="1">
        <f>75-SUM(O73:P73)</f>
        <v>159</v>
      </c>
      <c r="R73" s="1">
        <f>-246-SUM(O73:Q73)</f>
        <v>-321</v>
      </c>
    </row>
    <row r="74" spans="2:18" x14ac:dyDescent="0.2">
      <c r="B74" t="s">
        <v>170</v>
      </c>
      <c r="Q74" s="1">
        <v>6368</v>
      </c>
      <c r="R74" s="1">
        <f>6132-SUM(O74:Q74)</f>
        <v>-236</v>
      </c>
    </row>
    <row r="75" spans="2:18" x14ac:dyDescent="0.2">
      <c r="B75" t="s">
        <v>171</v>
      </c>
      <c r="Q75" s="1">
        <v>2290</v>
      </c>
      <c r="R75" s="1">
        <f>2252-SUM(O75:Q75)</f>
        <v>-38</v>
      </c>
    </row>
    <row r="76" spans="2:18" x14ac:dyDescent="0.2">
      <c r="B76" t="s">
        <v>38</v>
      </c>
      <c r="K76" s="1">
        <v>286</v>
      </c>
      <c r="L76" s="1">
        <f>1137-K76</f>
        <v>851</v>
      </c>
      <c r="M76" s="1">
        <f>1290-SUM(K76:L76)</f>
        <v>153</v>
      </c>
      <c r="N76" s="1">
        <f>731-SUM(K76:M76)</f>
        <v>-559</v>
      </c>
      <c r="O76" s="1">
        <v>80</v>
      </c>
      <c r="P76" s="1">
        <f>272-O76</f>
        <v>192</v>
      </c>
      <c r="Q76" s="1">
        <f>282-SUM(O76:P76)</f>
        <v>10</v>
      </c>
      <c r="R76" s="1">
        <f>-75-SUM(O76:Q76)</f>
        <v>-357</v>
      </c>
    </row>
    <row r="77" spans="2:18" x14ac:dyDescent="0.2">
      <c r="B77" t="s">
        <v>39</v>
      </c>
      <c r="K77" s="1">
        <v>231</v>
      </c>
      <c r="L77" s="1">
        <f>1240-K77</f>
        <v>1009</v>
      </c>
      <c r="M77" s="1">
        <f>1758-SUM(K77:L77)</f>
        <v>518</v>
      </c>
      <c r="N77" s="1">
        <f>2097-SUM(K77:M77)</f>
        <v>339</v>
      </c>
      <c r="O77" s="1">
        <v>-366</v>
      </c>
      <c r="P77" s="1">
        <f>-116-O77</f>
        <v>250</v>
      </c>
      <c r="Q77" s="1">
        <f>-969-SUM(O77:P77)</f>
        <v>-853</v>
      </c>
      <c r="R77" s="1">
        <f>-1105-SUM(O77:Q77)</f>
        <v>-136</v>
      </c>
    </row>
    <row r="78" spans="2:18" x14ac:dyDescent="0.2">
      <c r="B78" t="s">
        <v>46</v>
      </c>
      <c r="K78" s="1">
        <v>-771</v>
      </c>
      <c r="L78" s="1">
        <f>-1102-K78</f>
        <v>-331</v>
      </c>
      <c r="M78" s="1">
        <f>-1082-SUM(K78:L78)</f>
        <v>20</v>
      </c>
      <c r="N78" s="1">
        <f>-801-SUM(K78:M78)</f>
        <v>281</v>
      </c>
      <c r="O78" s="1">
        <v>-386</v>
      </c>
      <c r="P78" s="1">
        <f>184-O78</f>
        <v>570</v>
      </c>
      <c r="Q78" s="1">
        <f>566-SUM(O78:P78)</f>
        <v>382</v>
      </c>
      <c r="R78" s="1">
        <f>634-SUM(O78:Q78)</f>
        <v>68</v>
      </c>
    </row>
    <row r="79" spans="2:18" x14ac:dyDescent="0.2">
      <c r="B79" t="s">
        <v>50</v>
      </c>
      <c r="K79" s="1">
        <v>-1560</v>
      </c>
      <c r="L79" s="1">
        <f>-1340-K79</f>
        <v>220</v>
      </c>
      <c r="M79" s="1">
        <f>-1171-SUM(K79:L79)</f>
        <v>169</v>
      </c>
      <c r="N79" s="1">
        <f>-614-SUM(K79:M79)</f>
        <v>557</v>
      </c>
      <c r="O79" s="1">
        <v>-1289</v>
      </c>
      <c r="P79" s="1">
        <f>-1309-O79</f>
        <v>-20</v>
      </c>
      <c r="Q79" s="1">
        <f>1384-SUM(O79:P79)</f>
        <v>2693</v>
      </c>
      <c r="R79" s="1">
        <f>-218-SUM(O79:Q79)</f>
        <v>-1602</v>
      </c>
    </row>
    <row r="80" spans="2:18" x14ac:dyDescent="0.2">
      <c r="B80" t="s">
        <v>27</v>
      </c>
      <c r="K80" s="1">
        <v>1344</v>
      </c>
      <c r="L80" s="1">
        <f>-2186-K80</f>
        <v>-3530</v>
      </c>
      <c r="M80" s="1">
        <f>-2676-SUM(K80:L80)</f>
        <v>-490</v>
      </c>
      <c r="N80" s="1">
        <f>-3531-SUM(K80:M80)</f>
        <v>-855</v>
      </c>
      <c r="O80" s="1">
        <v>-591</v>
      </c>
      <c r="P80" s="1">
        <f>-2174-O80</f>
        <v>-1583</v>
      </c>
      <c r="Q80" s="1">
        <f>-930-SUM(O80:P80)</f>
        <v>1244</v>
      </c>
      <c r="R80" s="1">
        <f>-356-SUM(O80:Q80)</f>
        <v>574</v>
      </c>
    </row>
    <row r="81" spans="2:44" x14ac:dyDescent="0.2">
      <c r="B81" t="s">
        <v>25</v>
      </c>
      <c r="K81" s="1">
        <v>-1540</v>
      </c>
      <c r="L81" s="1">
        <f>-1843-K81</f>
        <v>-303</v>
      </c>
      <c r="M81" s="1">
        <f>-574-SUM(K81:L81)</f>
        <v>1269</v>
      </c>
      <c r="N81" s="1">
        <f>-451-SUM(K81:M81)</f>
        <v>123</v>
      </c>
      <c r="O81" s="1">
        <v>-2104</v>
      </c>
      <c r="P81" s="1">
        <f>-1983-O81</f>
        <v>121</v>
      </c>
      <c r="Q81" s="1">
        <f>20-SUM(O81:P81)</f>
        <v>2003</v>
      </c>
      <c r="R81" s="1">
        <f>2223-SUM(O81:Q81)</f>
        <v>2203</v>
      </c>
    </row>
    <row r="82" spans="2:44" x14ac:dyDescent="0.2">
      <c r="B82" t="s">
        <v>58</v>
      </c>
      <c r="K82" s="1">
        <f>+SUM(K76:K81)</f>
        <v>-2010</v>
      </c>
      <c r="L82" s="1">
        <f>+SUM(L76:L81)</f>
        <v>-2084</v>
      </c>
      <c r="M82" s="1">
        <f>+SUM(M76:M81)</f>
        <v>1639</v>
      </c>
      <c r="N82" s="1">
        <f>731+2097-801-614-3531-451-SUM(K82:M82)</f>
        <v>-114</v>
      </c>
      <c r="O82" s="1">
        <f>+SUM(O76:O81)</f>
        <v>-4656</v>
      </c>
      <c r="P82" s="1">
        <f>+SUM(P76:P81)</f>
        <v>-470</v>
      </c>
      <c r="Q82" s="1">
        <f>+SUM(Q76:Q81)</f>
        <v>5479</v>
      </c>
      <c r="R82" s="1">
        <f>+SUM(R76:R81)</f>
        <v>750</v>
      </c>
    </row>
    <row r="83" spans="2:44" s="4" customFormat="1" x14ac:dyDescent="0.2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>
        <f>+SUM(K68:K73)+K82</f>
        <v>-1785</v>
      </c>
      <c r="L83" s="5">
        <f>+SUM(L68:L73)+L82</f>
        <v>2808</v>
      </c>
      <c r="M83" s="5">
        <f>+SUM(M68:M73)+M82</f>
        <v>5824</v>
      </c>
      <c r="N83" s="5">
        <f>+SUM(N68:N82)</f>
        <v>4510</v>
      </c>
      <c r="O83" s="5">
        <f>+SUM(O68:O73)+O82</f>
        <v>-1223</v>
      </c>
      <c r="P83" s="5">
        <f>+SUM(P68:P73)+P82</f>
        <v>2292</v>
      </c>
      <c r="Q83" s="5">
        <f>+SUM(Q68:Q75)+Q82</f>
        <v>4054</v>
      </c>
      <c r="R83" s="5">
        <f>+SUM(R68:R75)+R82</f>
        <v>3165</v>
      </c>
      <c r="S83" s="5"/>
      <c r="T83" s="5"/>
      <c r="U83" s="5"/>
      <c r="V83" s="5"/>
      <c r="W83" s="5"/>
      <c r="X83" s="5"/>
      <c r="Y83" s="5">
        <v>19017</v>
      </c>
      <c r="Z83" s="5">
        <v>21808</v>
      </c>
      <c r="AA83" s="5">
        <v>22110</v>
      </c>
      <c r="AB83" s="5">
        <v>29432</v>
      </c>
      <c r="AC83" s="5">
        <v>33145</v>
      </c>
      <c r="AD83" s="5">
        <v>35864</v>
      </c>
      <c r="AE83" s="5">
        <v>29456</v>
      </c>
      <c r="AF83" s="5">
        <v>15433</v>
      </c>
      <c r="AG83" s="5">
        <f>+SUM(K83:N83)</f>
        <v>11357</v>
      </c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5" spans="2:44" s="4" customFormat="1" x14ac:dyDescent="0.2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>
        <v>-7413</v>
      </c>
      <c r="L85" s="5">
        <f>+-13301-SUM(K85)</f>
        <v>-5888</v>
      </c>
      <c r="M85" s="5">
        <f>+-13301-SUM(L85)</f>
        <v>-7413</v>
      </c>
      <c r="N85" s="5">
        <f>-25750-SUM(K85:M85)</f>
        <v>-5036</v>
      </c>
      <c r="O85" s="5">
        <v>-5970</v>
      </c>
      <c r="P85" s="5">
        <f>-11652-O85</f>
        <v>-5682</v>
      </c>
      <c r="Q85" s="5">
        <f>-18110-SUM(O85:P85)</f>
        <v>-6458</v>
      </c>
      <c r="R85" s="5">
        <f>-23944-SUM(O85:Q85)</f>
        <v>-5834</v>
      </c>
      <c r="S85" s="5"/>
      <c r="T85" s="5"/>
      <c r="U85" s="5"/>
      <c r="V85" s="5"/>
      <c r="W85" s="5"/>
      <c r="X85" s="5"/>
      <c r="Y85" s="5">
        <v>-7326</v>
      </c>
      <c r="Z85" s="5">
        <v>-9625</v>
      </c>
      <c r="AA85" s="5">
        <v>-11778</v>
      </c>
      <c r="AB85" s="5">
        <v>-15181</v>
      </c>
      <c r="AC85" s="5">
        <v>-16213</v>
      </c>
      <c r="AD85" s="5">
        <v>-14259</v>
      </c>
      <c r="AE85" s="5">
        <v>-18733</v>
      </c>
      <c r="AF85" s="5">
        <v>-24844</v>
      </c>
      <c r="AG85" s="5">
        <f>+SUM(K85:N85)</f>
        <v>-25750</v>
      </c>
      <c r="AH85" s="5"/>
      <c r="AI85" s="32">
        <v>-20000</v>
      </c>
      <c r="AJ85" s="5"/>
      <c r="AK85" s="5"/>
      <c r="AL85" s="5"/>
      <c r="AM85" s="5"/>
      <c r="AN85" s="5"/>
      <c r="AO85" s="5"/>
      <c r="AP85" s="5"/>
      <c r="AQ85" s="5"/>
      <c r="AR85" s="5"/>
    </row>
    <row r="86" spans="2:44" x14ac:dyDescent="0.2">
      <c r="B86" t="s">
        <v>67</v>
      </c>
      <c r="K86" s="1">
        <v>0</v>
      </c>
      <c r="L86" s="1">
        <v>0</v>
      </c>
      <c r="M86" s="1">
        <v>0</v>
      </c>
      <c r="N86" s="1">
        <v>1011</v>
      </c>
      <c r="O86" s="1">
        <v>592</v>
      </c>
      <c r="P86" s="1">
        <f>699-O86</f>
        <v>107</v>
      </c>
      <c r="Q86" s="1">
        <f>725-SUM(O86:P86)</f>
        <v>26</v>
      </c>
      <c r="R86" s="1">
        <f>1936-SUM(O86:Q86)</f>
        <v>1211</v>
      </c>
      <c r="AI86" s="10">
        <v>5000</v>
      </c>
    </row>
    <row r="87" spans="2:44" x14ac:dyDescent="0.2">
      <c r="B87" t="s">
        <v>187</v>
      </c>
      <c r="R87" s="1">
        <f>-82-SUM(O87:Q87)</f>
        <v>-82</v>
      </c>
    </row>
    <row r="88" spans="2:44" x14ac:dyDescent="0.2">
      <c r="B88" t="s">
        <v>57</v>
      </c>
      <c r="K88" s="1">
        <f>+-16132+14173</f>
        <v>-1959</v>
      </c>
      <c r="L88" s="1">
        <f>+-25696+26957-SUM(K88)</f>
        <v>3220</v>
      </c>
      <c r="M88" s="1">
        <f>+-25696+26957-SUM(L88)</f>
        <v>-1959</v>
      </c>
      <c r="N88" s="1">
        <f>+-44414+44077-SUM(K88:M88)</f>
        <v>361</v>
      </c>
      <c r="O88" s="1">
        <f>-6460+9598</f>
        <v>3138</v>
      </c>
      <c r="P88" s="1">
        <f>-17634+17214-O88</f>
        <v>-3558</v>
      </c>
      <c r="Q88" s="1">
        <f>-31519+34268-SUM(O88:P88)</f>
        <v>3169</v>
      </c>
      <c r="R88" s="1">
        <f>-37940+41463-SUM(O88:Q88)</f>
        <v>774</v>
      </c>
    </row>
    <row r="89" spans="2:44" x14ac:dyDescent="0.2">
      <c r="B89" t="s">
        <v>61</v>
      </c>
      <c r="K89" s="1">
        <v>116</v>
      </c>
      <c r="L89" s="1">
        <f>253-SUM(K89)</f>
        <v>137</v>
      </c>
      <c r="M89" s="1">
        <f>253-SUM(L89)</f>
        <v>116</v>
      </c>
      <c r="N89" s="1">
        <f>+-399+472-SUM(K89:M89)</f>
        <v>-296</v>
      </c>
      <c r="O89" s="1">
        <v>0</v>
      </c>
      <c r="P89" s="1">
        <v>0</v>
      </c>
      <c r="Q89" s="1">
        <v>0</v>
      </c>
      <c r="R89" s="1">
        <f>1047-SUM(O89:Q89)</f>
        <v>1047</v>
      </c>
    </row>
    <row r="90" spans="2:44" x14ac:dyDescent="0.2">
      <c r="B90" t="s">
        <v>25</v>
      </c>
      <c r="K90" s="1">
        <v>735</v>
      </c>
      <c r="L90" s="1">
        <f>458-SUM(K90)</f>
        <v>-277</v>
      </c>
      <c r="M90" s="1">
        <f>458-SUM(L90)</f>
        <v>735</v>
      </c>
      <c r="N90" s="1">
        <f>962-SUM(K90:M90)</f>
        <v>-231</v>
      </c>
      <c r="O90" s="1">
        <v>-323</v>
      </c>
      <c r="P90" s="1">
        <f>-355-O90</f>
        <v>-32</v>
      </c>
      <c r="Q90" s="1">
        <f>144-SUM(O90:P90)</f>
        <v>499</v>
      </c>
      <c r="R90" s="1">
        <f>-736-SUM(O90:Q90)</f>
        <v>-880</v>
      </c>
    </row>
    <row r="91" spans="2:44" x14ac:dyDescent="0.2">
      <c r="B91" t="s">
        <v>62</v>
      </c>
      <c r="K91" s="1">
        <f t="shared" ref="K91:R91" si="92">SUM(K85:K90)</f>
        <v>-8521</v>
      </c>
      <c r="L91" s="1">
        <f t="shared" si="92"/>
        <v>-2808</v>
      </c>
      <c r="M91" s="1">
        <f t="shared" si="92"/>
        <v>-8521</v>
      </c>
      <c r="N91" s="1">
        <f t="shared" si="92"/>
        <v>-4191</v>
      </c>
      <c r="O91" s="1">
        <f t="shared" si="92"/>
        <v>-2563</v>
      </c>
      <c r="P91" s="1">
        <f t="shared" si="92"/>
        <v>-9165</v>
      </c>
      <c r="Q91" s="1">
        <f t="shared" si="92"/>
        <v>-2764</v>
      </c>
      <c r="R91" s="1">
        <f t="shared" si="92"/>
        <v>-3764</v>
      </c>
    </row>
    <row r="93" spans="2:44" x14ac:dyDescent="0.2">
      <c r="B93" t="s">
        <v>97</v>
      </c>
      <c r="K93" s="1">
        <v>-2930</v>
      </c>
      <c r="L93" s="1">
        <f>+-3944-SUM(K93)</f>
        <v>-1014</v>
      </c>
      <c r="M93" s="1">
        <f>+-3944-SUM(L93)</f>
        <v>-2930</v>
      </c>
      <c r="N93" s="1">
        <f>+-3944-423-SUM(K93:M93)</f>
        <v>2507</v>
      </c>
      <c r="O93" s="1">
        <v>793</v>
      </c>
      <c r="P93" s="1">
        <f>5804-2609-O93</f>
        <v>2402</v>
      </c>
      <c r="Q93" s="1">
        <f>7349-7349-SUM(O93:P93)</f>
        <v>-3195</v>
      </c>
      <c r="R93" s="1">
        <f>7349-7349-SUM(O93:Q93)</f>
        <v>0</v>
      </c>
    </row>
    <row r="94" spans="2:44" x14ac:dyDescent="0.2">
      <c r="B94" t="s">
        <v>63</v>
      </c>
      <c r="K94" s="1">
        <v>-15</v>
      </c>
      <c r="L94" s="1">
        <f>+-96-SUM(K94)</f>
        <v>-81</v>
      </c>
      <c r="M94" s="1">
        <f>+-96-SUM(L94)</f>
        <v>-15</v>
      </c>
      <c r="N94" s="1">
        <f>+-96-SUM(K94:M94)</f>
        <v>15</v>
      </c>
      <c r="O94" s="1">
        <v>0</v>
      </c>
      <c r="P94" s="1">
        <v>0</v>
      </c>
      <c r="Q94" s="1">
        <v>0</v>
      </c>
      <c r="R94" s="1">
        <v>0</v>
      </c>
    </row>
    <row r="95" spans="2:44" x14ac:dyDescent="0.2">
      <c r="B95" t="s">
        <v>190</v>
      </c>
      <c r="K95" s="1">
        <v>449</v>
      </c>
      <c r="L95" s="1">
        <f>834-SUM(K95)</f>
        <v>385</v>
      </c>
      <c r="M95" s="1">
        <f>834-SUM(L95)</f>
        <v>449</v>
      </c>
      <c r="N95" s="1">
        <f>1511-SUM(K95:M95)</f>
        <v>228</v>
      </c>
      <c r="O95" s="1">
        <v>423</v>
      </c>
      <c r="P95" s="1">
        <f>11861-O95</f>
        <v>11438</v>
      </c>
      <c r="Q95" s="1">
        <f>12278-SUM(O95:P95)</f>
        <v>417</v>
      </c>
      <c r="R95" s="1">
        <f>12714-SUM(O95:Q95)</f>
        <v>436</v>
      </c>
      <c r="AI95" s="10">
        <v>4500</v>
      </c>
    </row>
    <row r="96" spans="2:44" x14ac:dyDescent="0.2">
      <c r="B96" t="s">
        <v>165</v>
      </c>
      <c r="K96" s="1">
        <v>0</v>
      </c>
      <c r="L96" s="1">
        <f>1573-SUM(K96)</f>
        <v>1573</v>
      </c>
      <c r="M96" s="1">
        <f>1573-SUM(L96)</f>
        <v>0</v>
      </c>
      <c r="N96" s="1">
        <f>2959-SUM(K96:M96)</f>
        <v>1386</v>
      </c>
      <c r="O96" s="1">
        <f>2959-SUM(L96:N96)</f>
        <v>0</v>
      </c>
      <c r="P96" s="1">
        <v>0</v>
      </c>
      <c r="Q96" s="1">
        <v>0</v>
      </c>
      <c r="R96" s="1">
        <v>0</v>
      </c>
    </row>
    <row r="97" spans="2:34" x14ac:dyDescent="0.2">
      <c r="B97" t="s">
        <v>188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-1178</v>
      </c>
    </row>
    <row r="98" spans="2:34" x14ac:dyDescent="0.2">
      <c r="B98" t="s">
        <v>98</v>
      </c>
      <c r="K98" s="1">
        <v>10968</v>
      </c>
      <c r="L98" s="1">
        <f>10968-SUM(K98)</f>
        <v>0</v>
      </c>
      <c r="M98" s="1">
        <f>10968-SUM(L98)</f>
        <v>10968</v>
      </c>
      <c r="N98" s="1">
        <f>11391-SUM(K98:M98)</f>
        <v>-10545</v>
      </c>
      <c r="O98" s="1">
        <v>2537</v>
      </c>
      <c r="P98" s="1">
        <f>2975-2288-O98</f>
        <v>-1850</v>
      </c>
      <c r="Q98" s="1">
        <f>2975-2288-SUM(O98:P98)</f>
        <v>0</v>
      </c>
      <c r="R98" s="1">
        <f>2975-2288-SUM(O98:Q98)</f>
        <v>0</v>
      </c>
    </row>
    <row r="99" spans="2:34" x14ac:dyDescent="0.2">
      <c r="B99" t="s">
        <v>166</v>
      </c>
      <c r="K99" s="1">
        <v>659</v>
      </c>
      <c r="L99" s="1">
        <f>0-SUM(K99)</f>
        <v>-659</v>
      </c>
      <c r="M99" s="1">
        <f>0-SUM(L99)</f>
        <v>659</v>
      </c>
      <c r="N99" s="1">
        <f>1042-SUM(K99:M99)</f>
        <v>383</v>
      </c>
      <c r="O99" s="1">
        <v>626</v>
      </c>
      <c r="P99" s="1">
        <f>631-O99</f>
        <v>5</v>
      </c>
      <c r="Q99" s="1">
        <f>986-SUM(O99:P99)</f>
        <v>355</v>
      </c>
      <c r="R99" s="1">
        <f>987-SUM(O99:Q99)</f>
        <v>1</v>
      </c>
    </row>
    <row r="100" spans="2:34" x14ac:dyDescent="0.2">
      <c r="B100" t="s">
        <v>189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-631</v>
      </c>
    </row>
    <row r="101" spans="2:34" x14ac:dyDescent="0.2">
      <c r="B101" t="s">
        <v>64</v>
      </c>
      <c r="K101" s="1">
        <v>-1512</v>
      </c>
      <c r="L101" s="1">
        <f>+-2036-SUM(K101)</f>
        <v>-524</v>
      </c>
      <c r="M101" s="1">
        <f>+-2036-SUM(L101)</f>
        <v>-1512</v>
      </c>
      <c r="N101" s="1">
        <f>-3088-SUM(K101:M101)</f>
        <v>460</v>
      </c>
      <c r="O101" s="1">
        <v>-529</v>
      </c>
      <c r="P101" s="1">
        <f>-1063-O101</f>
        <v>-534</v>
      </c>
      <c r="Q101" s="1">
        <f>-1599-SUM(O101:P101)</f>
        <v>-536</v>
      </c>
      <c r="R101" s="1">
        <f>-1599-SUM(O101:Q101)</f>
        <v>0</v>
      </c>
    </row>
    <row r="102" spans="2:34" x14ac:dyDescent="0.2">
      <c r="B102" t="s">
        <v>25</v>
      </c>
      <c r="K102" s="1">
        <v>-225</v>
      </c>
      <c r="L102" s="1">
        <f>212-SUM(K102)</f>
        <v>437</v>
      </c>
      <c r="M102" s="1">
        <f>212-SUM(L102)</f>
        <v>-225</v>
      </c>
      <c r="N102" s="1">
        <f>+-847-SUM(K102:M102)</f>
        <v>-834</v>
      </c>
      <c r="O102" s="1">
        <v>-220</v>
      </c>
      <c r="P102" s="1">
        <f>-444-O102</f>
        <v>-224</v>
      </c>
      <c r="Q102" s="1">
        <f>-1277-SUM(O102:P102)</f>
        <v>-833</v>
      </c>
      <c r="R102" s="1">
        <f>158-SUM(O102:Q102)</f>
        <v>1435</v>
      </c>
    </row>
    <row r="103" spans="2:34" x14ac:dyDescent="0.2">
      <c r="B103" t="s">
        <v>65</v>
      </c>
      <c r="K103" s="1">
        <f t="shared" ref="K103:R103" si="93">SUM(K93:K102)</f>
        <v>7394</v>
      </c>
      <c r="L103" s="1">
        <f t="shared" si="93"/>
        <v>117</v>
      </c>
      <c r="M103" s="1">
        <f t="shared" si="93"/>
        <v>7394</v>
      </c>
      <c r="N103" s="1">
        <f t="shared" si="93"/>
        <v>-6400</v>
      </c>
      <c r="O103" s="1">
        <f t="shared" si="93"/>
        <v>3630</v>
      </c>
      <c r="P103" s="1">
        <f t="shared" si="93"/>
        <v>11237</v>
      </c>
      <c r="Q103" s="1">
        <f t="shared" si="93"/>
        <v>-3792</v>
      </c>
      <c r="R103" s="1">
        <f t="shared" si="93"/>
        <v>63</v>
      </c>
    </row>
    <row r="105" spans="2:34" x14ac:dyDescent="0.2">
      <c r="B105" t="s">
        <v>66</v>
      </c>
      <c r="K105" s="1">
        <f t="shared" ref="K105:Q105" si="94">+K83+K91+K103</f>
        <v>-2912</v>
      </c>
      <c r="L105" s="1">
        <f t="shared" si="94"/>
        <v>117</v>
      </c>
      <c r="M105" s="1">
        <f t="shared" si="94"/>
        <v>4697</v>
      </c>
      <c r="N105" s="1">
        <f t="shared" si="94"/>
        <v>-6081</v>
      </c>
      <c r="O105" s="1">
        <f t="shared" si="94"/>
        <v>-156</v>
      </c>
      <c r="P105" s="1">
        <f t="shared" si="94"/>
        <v>4364</v>
      </c>
      <c r="Q105" s="1">
        <f t="shared" si="94"/>
        <v>-2502</v>
      </c>
      <c r="R105" s="1">
        <f t="shared" ref="R105" si="95">+R83+R91+R103</f>
        <v>-536</v>
      </c>
    </row>
    <row r="106" spans="2:34" x14ac:dyDescent="0.2">
      <c r="B106" t="s">
        <v>103</v>
      </c>
      <c r="K106" s="1">
        <v>8232</v>
      </c>
      <c r="L106" s="1">
        <v>8349</v>
      </c>
      <c r="M106" s="1">
        <v>7621</v>
      </c>
      <c r="N106" s="1">
        <v>7079</v>
      </c>
      <c r="O106" s="1">
        <v>6923</v>
      </c>
      <c r="P106" s="1">
        <v>11287</v>
      </c>
      <c r="Q106" s="1">
        <v>8785</v>
      </c>
      <c r="R106" s="1">
        <f>+Q106+R105</f>
        <v>8249</v>
      </c>
    </row>
    <row r="108" spans="2:34" x14ac:dyDescent="0.2">
      <c r="B108" t="s">
        <v>96</v>
      </c>
      <c r="K108" s="1">
        <f t="shared" ref="K108:P108" si="96">+K83+K85</f>
        <v>-9198</v>
      </c>
      <c r="L108" s="1">
        <f t="shared" si="96"/>
        <v>-3080</v>
      </c>
      <c r="M108" s="1">
        <f t="shared" si="96"/>
        <v>-1589</v>
      </c>
      <c r="N108" s="1">
        <f t="shared" si="96"/>
        <v>-526</v>
      </c>
      <c r="O108" s="1">
        <f t="shared" si="96"/>
        <v>-7193</v>
      </c>
      <c r="P108" s="1">
        <f t="shared" si="96"/>
        <v>-3390</v>
      </c>
      <c r="Q108" s="1">
        <f>+Q83+Q85</f>
        <v>-2404</v>
      </c>
      <c r="R108" s="1">
        <f>+R83+R85</f>
        <v>-2669</v>
      </c>
      <c r="Y108" s="1">
        <f>+Y83+Y85</f>
        <v>11691</v>
      </c>
      <c r="Z108" s="1">
        <f t="shared" ref="Z108:AF108" si="97">+Z83+Z85</f>
        <v>12183</v>
      </c>
      <c r="AA108" s="1">
        <f t="shared" si="97"/>
        <v>10332</v>
      </c>
      <c r="AB108" s="1">
        <f t="shared" si="97"/>
        <v>14251</v>
      </c>
      <c r="AC108" s="1">
        <f t="shared" si="97"/>
        <v>16932</v>
      </c>
      <c r="AD108" s="1">
        <f t="shared" si="97"/>
        <v>21605</v>
      </c>
      <c r="AE108" s="1">
        <f t="shared" si="97"/>
        <v>10723</v>
      </c>
      <c r="AF108" s="1">
        <f t="shared" si="97"/>
        <v>-9411</v>
      </c>
      <c r="AG108" s="1">
        <f>+AG83+AG85</f>
        <v>-14393</v>
      </c>
      <c r="AH108" s="1">
        <f>+SUM(O108:R108)</f>
        <v>-15656</v>
      </c>
    </row>
    <row r="109" spans="2:34" x14ac:dyDescent="0.2">
      <c r="B109" t="s">
        <v>186</v>
      </c>
      <c r="N109" s="1">
        <f t="shared" ref="N109:Q109" si="98">+SUM(K108:N108)</f>
        <v>-14393</v>
      </c>
      <c r="O109" s="1">
        <f t="shared" si="98"/>
        <v>-12388</v>
      </c>
      <c r="P109" s="1">
        <f t="shared" si="98"/>
        <v>-12698</v>
      </c>
      <c r="Q109" s="1">
        <f t="shared" si="98"/>
        <v>-13513</v>
      </c>
      <c r="R109" s="1">
        <f>+SUM(O108:R108)</f>
        <v>-15656</v>
      </c>
      <c r="Y109" s="1">
        <f t="shared" ref="Y109:AG109" si="99">+Y27-Y108</f>
        <v>33</v>
      </c>
      <c r="Z109" s="1">
        <f t="shared" si="99"/>
        <v>-193</v>
      </c>
      <c r="AA109" s="1">
        <f t="shared" si="99"/>
        <v>-2821</v>
      </c>
      <c r="AB109" s="1">
        <f t="shared" si="99"/>
        <v>7055</v>
      </c>
      <c r="AC109" s="1">
        <f t="shared" si="99"/>
        <v>3170</v>
      </c>
      <c r="AD109" s="1">
        <f t="shared" si="99"/>
        <v>-508</v>
      </c>
      <c r="AE109" s="1">
        <f t="shared" si="99"/>
        <v>11771</v>
      </c>
      <c r="AF109" s="1">
        <f t="shared" si="99"/>
        <v>17430</v>
      </c>
      <c r="AG109" s="1">
        <f t="shared" si="99"/>
        <v>16006</v>
      </c>
    </row>
    <row r="111" spans="2:34" x14ac:dyDescent="0.2">
      <c r="B111" t="s">
        <v>105</v>
      </c>
      <c r="N111" s="1">
        <v>124800</v>
      </c>
      <c r="Q111" s="1">
        <v>124100</v>
      </c>
      <c r="R111" s="1">
        <v>108900</v>
      </c>
    </row>
  </sheetData>
  <hyperlinks>
    <hyperlink ref="A1" location="Main!A1" display="Main!A1" xr:uid="{7154119F-0ACE-43E4-BDDD-B0EFA13381B9}"/>
  </hyperlinks>
  <pageMargins left="0.7" right="0.7" top="0.75" bottom="0.75" header="0.3" footer="0.3"/>
  <pageSetup paperSize="9" orientation="portrait" r:id="rId1"/>
  <ignoredErrors>
    <ignoredError sqref="J25 N25 N19 J19:J21 J2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012A-4614-41F5-B102-CE8D4D7E89F8}">
  <dimension ref="A1:AL62"/>
  <sheetViews>
    <sheetView tabSelected="1" workbookViewId="0">
      <pane xSplit="2" ySplit="3" topLeftCell="N7" activePane="bottomRight" state="frozen"/>
      <selection pane="topRight" activeCell="C1" sqref="C1"/>
      <selection pane="bottomLeft" activeCell="A4" sqref="A4"/>
      <selection pane="bottomRight" activeCell="U12" sqref="U12"/>
    </sheetView>
  </sheetViews>
  <sheetFormatPr defaultRowHeight="12.75" x14ac:dyDescent="0.2"/>
  <cols>
    <col min="1" max="1" width="2.7109375" customWidth="1"/>
    <col min="2" max="2" width="28.140625" bestFit="1" customWidth="1"/>
    <col min="6" max="6" width="10.140625" bestFit="1" customWidth="1"/>
    <col min="10" max="10" width="10.140625" bestFit="1" customWidth="1"/>
    <col min="14" max="14" width="10.140625" bestFit="1" customWidth="1"/>
    <col min="17" max="18" width="9.140625" style="1"/>
  </cols>
  <sheetData>
    <row r="1" spans="1:38" s="48" customFormat="1" ht="12" customHeight="1" x14ac:dyDescent="0.2">
      <c r="A1" s="45" t="s">
        <v>196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8" x14ac:dyDescent="0.2">
      <c r="B2" s="2" t="s">
        <v>1</v>
      </c>
      <c r="C2" s="2">
        <v>44282</v>
      </c>
      <c r="D2" s="2">
        <v>44403</v>
      </c>
      <c r="E2" s="2">
        <v>44464</v>
      </c>
      <c r="F2" s="2">
        <v>44560</v>
      </c>
      <c r="G2" s="2">
        <v>44653</v>
      </c>
      <c r="H2" s="2">
        <v>45109</v>
      </c>
      <c r="I2" s="2">
        <v>44835</v>
      </c>
      <c r="J2" s="2">
        <v>44925</v>
      </c>
      <c r="K2" s="2">
        <v>45017</v>
      </c>
      <c r="L2" s="2">
        <v>45108</v>
      </c>
      <c r="M2" s="2">
        <v>45199</v>
      </c>
      <c r="N2" s="2">
        <v>45290</v>
      </c>
      <c r="O2" s="2">
        <v>45381</v>
      </c>
      <c r="P2" s="31">
        <v>45472</v>
      </c>
      <c r="Q2" s="1">
        <v>45563</v>
      </c>
      <c r="R2" s="1">
        <v>45654</v>
      </c>
      <c r="S2" s="31"/>
      <c r="T2" s="31"/>
      <c r="U2" s="31"/>
      <c r="V2" s="31"/>
      <c r="W2" s="31"/>
      <c r="X2" s="2"/>
      <c r="Y2" s="1"/>
      <c r="Z2" s="2"/>
      <c r="AA2" s="2"/>
      <c r="AB2" s="2"/>
      <c r="AC2" s="2"/>
      <c r="AD2" s="2"/>
      <c r="AE2" s="2"/>
      <c r="AF2" s="2"/>
      <c r="AG2" s="2"/>
      <c r="AH2" s="2"/>
    </row>
    <row r="3" spans="1:38" x14ac:dyDescent="0.2">
      <c r="B3" s="6" t="s">
        <v>0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14" t="s">
        <v>15</v>
      </c>
      <c r="Q3" s="14" t="s">
        <v>16</v>
      </c>
      <c r="R3" s="14" t="s">
        <v>17</v>
      </c>
      <c r="S3" s="7" t="s">
        <v>177</v>
      </c>
      <c r="T3" s="7" t="s">
        <v>178</v>
      </c>
      <c r="U3" s="7" t="s">
        <v>179</v>
      </c>
      <c r="V3" s="7" t="s">
        <v>180</v>
      </c>
      <c r="W3" s="7"/>
      <c r="X3" s="7"/>
      <c r="Y3" s="16">
        <v>2014</v>
      </c>
      <c r="Z3" s="7">
        <v>2015</v>
      </c>
      <c r="AA3" s="7">
        <v>2016</v>
      </c>
      <c r="AB3" s="7">
        <v>2017</v>
      </c>
      <c r="AC3" s="7">
        <v>2018</v>
      </c>
      <c r="AD3" s="7">
        <v>2019</v>
      </c>
      <c r="AE3" s="7">
        <v>2020</v>
      </c>
      <c r="AF3" s="7">
        <v>2021</v>
      </c>
      <c r="AG3" s="7">
        <f>+AF3+1</f>
        <v>2022</v>
      </c>
      <c r="AH3" s="7">
        <f t="shared" ref="AH3:AL3" si="0">+AG3+1</f>
        <v>2023</v>
      </c>
      <c r="AI3" s="7">
        <f t="shared" si="0"/>
        <v>2024</v>
      </c>
      <c r="AJ3" s="7">
        <f t="shared" si="0"/>
        <v>2025</v>
      </c>
      <c r="AK3" s="7">
        <f t="shared" si="0"/>
        <v>2026</v>
      </c>
      <c r="AL3" s="7">
        <f t="shared" si="0"/>
        <v>2027</v>
      </c>
    </row>
    <row r="4" spans="1:38" x14ac:dyDescent="0.2">
      <c r="B4" s="34" t="s">
        <v>18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7"/>
      <c r="Q4" s="37"/>
      <c r="R4" s="37"/>
      <c r="S4" s="38"/>
      <c r="T4" s="38"/>
      <c r="U4" s="38"/>
      <c r="V4" s="38"/>
      <c r="W4" s="38"/>
      <c r="X4" s="38"/>
      <c r="Y4" s="37"/>
      <c r="Z4" s="38"/>
      <c r="AA4" s="38"/>
      <c r="AB4" s="38"/>
      <c r="AC4" s="38"/>
      <c r="AD4" s="38"/>
      <c r="AE4" s="38"/>
      <c r="AF4" s="38"/>
      <c r="AG4" s="38"/>
      <c r="AH4" s="38"/>
      <c r="AI4" s="39"/>
    </row>
    <row r="5" spans="1:38" x14ac:dyDescent="0.2">
      <c r="B5" s="29" t="s">
        <v>78</v>
      </c>
      <c r="C5" s="14"/>
      <c r="D5" s="14"/>
      <c r="E5" s="14"/>
      <c r="F5" s="14"/>
      <c r="G5" s="14">
        <v>2641</v>
      </c>
      <c r="H5" s="14">
        <v>2289</v>
      </c>
      <c r="I5" s="14">
        <v>3222</v>
      </c>
      <c r="J5" s="14">
        <f>10661-SUM(G5:I5)</f>
        <v>2509</v>
      </c>
      <c r="K5" s="14">
        <v>1879</v>
      </c>
      <c r="L5" s="14">
        <v>2370</v>
      </c>
      <c r="M5" s="14">
        <v>2753</v>
      </c>
      <c r="N5" s="14">
        <f>10166-SUM(K5:M5)</f>
        <v>3164</v>
      </c>
      <c r="O5" s="14">
        <v>2461</v>
      </c>
      <c r="P5" s="14">
        <v>2527</v>
      </c>
      <c r="Q5" s="14">
        <v>2070</v>
      </c>
      <c r="R5" s="14"/>
      <c r="S5" s="7"/>
      <c r="T5" s="7"/>
      <c r="U5" s="7"/>
      <c r="V5" s="7"/>
      <c r="W5" s="7"/>
      <c r="X5" s="7"/>
      <c r="Y5" s="14"/>
      <c r="Z5" s="14"/>
      <c r="AA5" s="14">
        <v>12371</v>
      </c>
      <c r="AB5" s="14">
        <v>11647</v>
      </c>
      <c r="AC5" s="14">
        <v>12220</v>
      </c>
      <c r="AD5" s="14">
        <v>11822</v>
      </c>
      <c r="AE5" s="14">
        <v>11179</v>
      </c>
      <c r="AF5" s="14">
        <v>12437</v>
      </c>
      <c r="AG5" s="14">
        <v>10661</v>
      </c>
      <c r="AH5" s="14">
        <v>10166</v>
      </c>
    </row>
    <row r="6" spans="1:38" x14ac:dyDescent="0.2">
      <c r="B6" s="29" t="s">
        <v>77</v>
      </c>
      <c r="C6" s="14"/>
      <c r="D6" s="14"/>
      <c r="E6" s="14"/>
      <c r="F6" s="14"/>
      <c r="G6" s="14">
        <v>5959</v>
      </c>
      <c r="H6" s="14">
        <v>4751</v>
      </c>
      <c r="I6" s="14">
        <v>4408</v>
      </c>
      <c r="J6" s="14">
        <f>18781-SUM(G6:I6)</f>
        <v>3663</v>
      </c>
      <c r="K6" s="14">
        <v>3407</v>
      </c>
      <c r="L6" s="14">
        <v>3896</v>
      </c>
      <c r="M6" s="14">
        <v>4503</v>
      </c>
      <c r="N6" s="14">
        <f>16990-SUM(K6:M6)</f>
        <v>5184</v>
      </c>
      <c r="O6" s="14">
        <v>4681</v>
      </c>
      <c r="P6" s="14">
        <v>4480</v>
      </c>
      <c r="Q6" s="14">
        <v>4888</v>
      </c>
      <c r="R6" s="14"/>
      <c r="S6" s="7"/>
      <c r="T6" s="7"/>
      <c r="U6" s="7"/>
      <c r="V6" s="7"/>
      <c r="W6" s="7"/>
      <c r="X6" s="7"/>
      <c r="Y6" s="14"/>
      <c r="Z6" s="14"/>
      <c r="AA6" s="14">
        <v>18203</v>
      </c>
      <c r="AB6" s="14">
        <v>19414</v>
      </c>
      <c r="AC6" s="14">
        <v>20930</v>
      </c>
      <c r="AD6" s="14">
        <v>20779</v>
      </c>
      <c r="AE6" s="14">
        <v>24897</v>
      </c>
      <c r="AF6" s="14">
        <v>25443</v>
      </c>
      <c r="AG6" s="14">
        <v>18781</v>
      </c>
      <c r="AH6" s="14">
        <v>16990</v>
      </c>
    </row>
    <row r="7" spans="1:38" x14ac:dyDescent="0.2">
      <c r="B7" s="29" t="s">
        <v>25</v>
      </c>
      <c r="C7" s="14"/>
      <c r="D7" s="14"/>
      <c r="E7" s="14"/>
      <c r="F7" s="14"/>
      <c r="G7" s="14">
        <v>722</v>
      </c>
      <c r="H7" s="14">
        <v>638</v>
      </c>
      <c r="I7" s="14">
        <v>498</v>
      </c>
      <c r="J7" s="14">
        <f>2331-SUM(G7:I7)</f>
        <v>473</v>
      </c>
      <c r="K7" s="14">
        <v>481</v>
      </c>
      <c r="L7" s="14">
        <v>514</v>
      </c>
      <c r="M7" s="14">
        <v>611</v>
      </c>
      <c r="N7" s="14">
        <f>2102-SUM(K7:M7)</f>
        <v>496</v>
      </c>
      <c r="O7" s="14">
        <v>391</v>
      </c>
      <c r="P7" s="14">
        <v>403</v>
      </c>
      <c r="Q7" s="14">
        <v>372</v>
      </c>
      <c r="R7" s="14"/>
      <c r="S7" s="7"/>
      <c r="T7" s="7"/>
      <c r="U7" s="7"/>
      <c r="V7" s="7"/>
      <c r="W7" s="7"/>
      <c r="X7" s="7"/>
      <c r="Y7" s="14"/>
      <c r="Z7" s="14"/>
      <c r="AA7" s="14">
        <v>2467</v>
      </c>
      <c r="AB7" s="14">
        <v>2810</v>
      </c>
      <c r="AC7" s="14">
        <v>3149</v>
      </c>
      <c r="AD7" s="14">
        <f>3440+80</f>
        <v>3520</v>
      </c>
      <c r="AE7" s="14">
        <v>4459</v>
      </c>
      <c r="AF7" s="14">
        <v>3201</v>
      </c>
      <c r="AG7" s="14">
        <v>2331</v>
      </c>
      <c r="AH7" s="14">
        <v>2102</v>
      </c>
    </row>
    <row r="8" spans="1:38" x14ac:dyDescent="0.2">
      <c r="B8" s="20" t="s">
        <v>99</v>
      </c>
      <c r="C8" s="14"/>
      <c r="D8" s="14"/>
      <c r="E8" s="14"/>
      <c r="F8" s="14"/>
      <c r="G8" s="14">
        <f t="shared" ref="G8:Q8" si="1">SUM(G5:G7)</f>
        <v>9322</v>
      </c>
      <c r="H8" s="14">
        <f t="shared" si="1"/>
        <v>7678</v>
      </c>
      <c r="I8" s="14">
        <f t="shared" si="1"/>
        <v>8128</v>
      </c>
      <c r="J8" s="14">
        <f t="shared" si="1"/>
        <v>6645</v>
      </c>
      <c r="K8" s="14">
        <f t="shared" si="1"/>
        <v>5767</v>
      </c>
      <c r="L8" s="14">
        <f t="shared" si="1"/>
        <v>6780</v>
      </c>
      <c r="M8" s="14">
        <f t="shared" si="1"/>
        <v>7867</v>
      </c>
      <c r="N8" s="14">
        <f t="shared" si="1"/>
        <v>8844</v>
      </c>
      <c r="O8" s="14">
        <f t="shared" si="1"/>
        <v>7533</v>
      </c>
      <c r="P8" s="14">
        <f t="shared" si="1"/>
        <v>7410</v>
      </c>
      <c r="Q8" s="14">
        <f t="shared" si="1"/>
        <v>7330</v>
      </c>
      <c r="R8" s="14">
        <v>8017</v>
      </c>
      <c r="S8" s="7"/>
      <c r="T8" s="7"/>
      <c r="U8" s="7"/>
      <c r="V8" s="7"/>
      <c r="W8" s="7"/>
      <c r="X8" s="7"/>
      <c r="Y8" s="14">
        <v>34872</v>
      </c>
      <c r="Z8" s="14">
        <v>32219</v>
      </c>
      <c r="AA8" s="7">
        <f>SUM(AA5:AA7)</f>
        <v>33041</v>
      </c>
      <c r="AB8" s="7">
        <f t="shared" ref="AB8:AE8" si="2">SUM(AB5:AB7)</f>
        <v>33871</v>
      </c>
      <c r="AC8" s="7">
        <f t="shared" si="2"/>
        <v>36299</v>
      </c>
      <c r="AD8" s="7">
        <f t="shared" si="2"/>
        <v>36121</v>
      </c>
      <c r="AE8" s="7">
        <f t="shared" si="2"/>
        <v>40535</v>
      </c>
      <c r="AF8" s="14">
        <f>SUM(AF5:AF7)</f>
        <v>41081</v>
      </c>
      <c r="AG8" s="14">
        <f>SUM(AG5:AG7)</f>
        <v>31773</v>
      </c>
      <c r="AH8" s="14">
        <f>SUM(AH5:AH7)</f>
        <v>29258</v>
      </c>
      <c r="AI8" s="1">
        <f>+SUM(O8:R8)</f>
        <v>30290</v>
      </c>
    </row>
    <row r="9" spans="1:38" x14ac:dyDescent="0.2">
      <c r="B9" s="20" t="s">
        <v>100</v>
      </c>
      <c r="C9" s="1"/>
      <c r="D9" s="1"/>
      <c r="E9" s="1"/>
      <c r="F9" s="1"/>
      <c r="G9" s="1">
        <v>6074</v>
      </c>
      <c r="H9" s="1">
        <v>4695</v>
      </c>
      <c r="I9" s="1">
        <v>4255</v>
      </c>
      <c r="J9" s="1">
        <f>19445-SUM(G9:I9)</f>
        <v>4421</v>
      </c>
      <c r="K9" s="1">
        <v>2901</v>
      </c>
      <c r="L9" s="1">
        <v>4004</v>
      </c>
      <c r="M9" s="1">
        <v>3814</v>
      </c>
      <c r="N9" s="1">
        <v>3985</v>
      </c>
      <c r="O9" s="1">
        <v>3036</v>
      </c>
      <c r="P9" s="1">
        <v>3045</v>
      </c>
      <c r="Q9" s="1">
        <v>3349</v>
      </c>
      <c r="R9" s="1">
        <v>3387</v>
      </c>
      <c r="S9" s="20"/>
      <c r="T9" s="20"/>
      <c r="U9" s="20"/>
      <c r="V9" s="20"/>
      <c r="W9" s="20"/>
      <c r="X9" s="20"/>
      <c r="Y9" s="1"/>
      <c r="Z9" s="1"/>
      <c r="AA9" s="20"/>
      <c r="AB9" s="1"/>
      <c r="AC9" s="1"/>
      <c r="AD9" s="1"/>
      <c r="AE9" s="1">
        <v>23413</v>
      </c>
      <c r="AF9" s="1">
        <v>22774</v>
      </c>
      <c r="AG9" s="1">
        <v>19445</v>
      </c>
      <c r="AH9" s="1">
        <v>15521</v>
      </c>
      <c r="AI9" s="1">
        <f>+SUM(O9:R9)</f>
        <v>12817</v>
      </c>
    </row>
    <row r="10" spans="1:38" x14ac:dyDescent="0.2">
      <c r="B10" s="20" t="s">
        <v>101</v>
      </c>
      <c r="C10" s="1"/>
      <c r="D10" s="1"/>
      <c r="E10" s="1"/>
      <c r="F10" s="1"/>
      <c r="G10" s="1">
        <v>2139</v>
      </c>
      <c r="H10" s="1">
        <v>2211</v>
      </c>
      <c r="I10" s="1">
        <v>2133</v>
      </c>
      <c r="J10" s="1">
        <f>8409-SUM(G10:I10)</f>
        <v>1926</v>
      </c>
      <c r="K10" s="1">
        <v>1489</v>
      </c>
      <c r="L10" s="1">
        <v>1364</v>
      </c>
      <c r="M10" s="1">
        <v>1450</v>
      </c>
      <c r="N10" s="1">
        <f>5774-SUM(K10:M10)</f>
        <v>1471</v>
      </c>
      <c r="O10" s="1">
        <v>1364</v>
      </c>
      <c r="P10" s="1">
        <v>1344</v>
      </c>
      <c r="Q10" s="1">
        <v>1511</v>
      </c>
      <c r="R10" s="1">
        <v>1623</v>
      </c>
      <c r="S10" s="20"/>
      <c r="T10" s="20"/>
      <c r="U10" s="20"/>
      <c r="V10" s="20"/>
      <c r="W10" s="20"/>
      <c r="X10" s="20"/>
      <c r="Y10" s="1"/>
      <c r="Z10" s="1"/>
      <c r="AA10" s="1"/>
      <c r="AB10" s="1"/>
      <c r="AC10" s="1"/>
      <c r="AD10" s="1"/>
      <c r="AE10" s="1">
        <v>7132</v>
      </c>
      <c r="AF10" s="1">
        <v>7665</v>
      </c>
      <c r="AG10" s="1">
        <v>8409</v>
      </c>
      <c r="AH10" s="1">
        <v>5774</v>
      </c>
      <c r="AI10" s="1">
        <f>+SUM(O10:R10)</f>
        <v>5842</v>
      </c>
    </row>
    <row r="11" spans="1:38" x14ac:dyDescent="0.2">
      <c r="B11" s="20" t="s">
        <v>193</v>
      </c>
      <c r="C11" s="1"/>
      <c r="D11" s="1"/>
      <c r="E11" s="1"/>
      <c r="F11" s="1"/>
      <c r="G11" s="1">
        <f t="shared" ref="G11:R11" si="3">SUM(G8:G10)</f>
        <v>17535</v>
      </c>
      <c r="H11" s="1">
        <f t="shared" si="3"/>
        <v>14584</v>
      </c>
      <c r="I11" s="1">
        <f t="shared" si="3"/>
        <v>14516</v>
      </c>
      <c r="J11" s="1">
        <f t="shared" si="3"/>
        <v>12992</v>
      </c>
      <c r="K11" s="1">
        <f t="shared" si="3"/>
        <v>10157</v>
      </c>
      <c r="L11" s="1">
        <f t="shared" si="3"/>
        <v>12148</v>
      </c>
      <c r="M11" s="1">
        <f t="shared" si="3"/>
        <v>13131</v>
      </c>
      <c r="N11" s="1">
        <f t="shared" si="3"/>
        <v>14300</v>
      </c>
      <c r="O11" s="1">
        <f t="shared" si="3"/>
        <v>11933</v>
      </c>
      <c r="P11" s="1">
        <f t="shared" si="3"/>
        <v>11799</v>
      </c>
      <c r="Q11" s="1">
        <f t="shared" si="3"/>
        <v>12190</v>
      </c>
      <c r="R11" s="1">
        <f t="shared" si="3"/>
        <v>13027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ref="AE11:AH11" si="4">+SUM(AE8:AE10)</f>
        <v>71080</v>
      </c>
      <c r="AF11" s="1">
        <f t="shared" si="4"/>
        <v>71520</v>
      </c>
      <c r="AG11" s="1">
        <f t="shared" si="4"/>
        <v>59627</v>
      </c>
      <c r="AH11" s="1">
        <f t="shared" si="4"/>
        <v>50553</v>
      </c>
      <c r="AI11" s="1">
        <f>+SUM(AI8:AI10)</f>
        <v>48949</v>
      </c>
    </row>
    <row r="12" spans="1:38" x14ac:dyDescent="0.2">
      <c r="B12" s="3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8" x14ac:dyDescent="0.2">
      <c r="B13" t="s">
        <v>74</v>
      </c>
      <c r="C13" s="1"/>
      <c r="D13" s="1"/>
      <c r="E13" s="1"/>
      <c r="F13" s="1"/>
      <c r="G13" s="1"/>
      <c r="H13" s="1"/>
      <c r="I13" s="1"/>
      <c r="J13" s="1"/>
      <c r="K13" s="1">
        <v>4831</v>
      </c>
      <c r="L13" s="1"/>
      <c r="M13" s="1">
        <v>4732</v>
      </c>
      <c r="N13" s="1"/>
      <c r="O13" s="1">
        <v>4369</v>
      </c>
      <c r="P13" s="1">
        <v>4320</v>
      </c>
      <c r="Q13" s="1">
        <v>4352</v>
      </c>
      <c r="R13" s="1">
        <v>4502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f>+SUM(O13:R13)</f>
        <v>17543</v>
      </c>
    </row>
    <row r="14" spans="1:38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8" x14ac:dyDescent="0.2">
      <c r="B15" s="29" t="s">
        <v>75</v>
      </c>
      <c r="C15" s="1"/>
      <c r="D15" s="1"/>
      <c r="E15" s="1"/>
      <c r="F15" s="1"/>
      <c r="G15" s="1"/>
      <c r="H15" s="1"/>
      <c r="I15" s="1"/>
      <c r="J15" s="1"/>
      <c r="K15" s="1">
        <v>816</v>
      </c>
      <c r="L15" s="1">
        <v>848</v>
      </c>
      <c r="M15" s="1">
        <v>735</v>
      </c>
      <c r="N15" s="1"/>
      <c r="O15" s="1">
        <v>342</v>
      </c>
      <c r="P15" s="1">
        <v>361</v>
      </c>
      <c r="Q15" s="1">
        <v>412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8" x14ac:dyDescent="0.2">
      <c r="B16" s="29" t="s">
        <v>76</v>
      </c>
      <c r="C16" s="14"/>
      <c r="D16" s="14"/>
      <c r="E16" s="14"/>
      <c r="F16" s="14"/>
      <c r="G16" s="14">
        <v>394</v>
      </c>
      <c r="H16" s="14">
        <v>460</v>
      </c>
      <c r="I16" s="14">
        <v>450</v>
      </c>
      <c r="J16" s="14">
        <f>1869-SUM(G16:I16)</f>
        <v>565</v>
      </c>
      <c r="K16" s="14">
        <v>458</v>
      </c>
      <c r="L16" s="14">
        <v>454</v>
      </c>
      <c r="M16" s="14">
        <v>530</v>
      </c>
      <c r="N16" s="14">
        <f>2079-SUM(K16:M16)</f>
        <v>637</v>
      </c>
      <c r="O16" s="14">
        <v>239</v>
      </c>
      <c r="P16" s="14">
        <v>440</v>
      </c>
      <c r="Q16" s="14">
        <v>485</v>
      </c>
      <c r="R16" s="14"/>
      <c r="S16" s="7"/>
      <c r="T16" s="7"/>
      <c r="U16" s="7"/>
      <c r="V16" s="7"/>
      <c r="W16" s="7"/>
      <c r="X16" s="7"/>
      <c r="Y16" s="14"/>
      <c r="Z16" s="14"/>
      <c r="AA16" s="14"/>
      <c r="AB16" s="14">
        <v>210</v>
      </c>
      <c r="AC16" s="14">
        <v>698</v>
      </c>
      <c r="AD16" s="14">
        <v>879</v>
      </c>
      <c r="AE16" s="14">
        <v>967</v>
      </c>
      <c r="AF16" s="14">
        <v>1386</v>
      </c>
      <c r="AG16" s="14">
        <v>1869</v>
      </c>
      <c r="AH16" s="14">
        <v>2079</v>
      </c>
    </row>
    <row r="17" spans="2:35" x14ac:dyDescent="0.2">
      <c r="B17" s="29" t="s">
        <v>147</v>
      </c>
      <c r="C17" s="14"/>
      <c r="D17" s="14"/>
      <c r="E17" s="14"/>
      <c r="F17" s="14"/>
      <c r="G17" s="14"/>
      <c r="H17" s="14">
        <v>57</v>
      </c>
      <c r="I17" s="14">
        <v>78</v>
      </c>
      <c r="J17" s="14">
        <v>178</v>
      </c>
      <c r="K17" s="14"/>
      <c r="L17" s="14"/>
      <c r="M17" s="14">
        <v>311</v>
      </c>
      <c r="N17" s="14">
        <v>291</v>
      </c>
      <c r="O17" s="14"/>
      <c r="P17" s="14"/>
      <c r="Q17" s="14"/>
      <c r="R17" s="14"/>
      <c r="S17" s="7"/>
      <c r="T17" s="7"/>
      <c r="U17" s="7"/>
      <c r="V17" s="7"/>
      <c r="W17" s="7"/>
      <c r="X17" s="7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2:35" x14ac:dyDescent="0.2">
      <c r="B18" s="29" t="s">
        <v>25</v>
      </c>
      <c r="C18" s="14"/>
      <c r="D18" s="14"/>
      <c r="E18" s="14"/>
      <c r="F18" s="14"/>
      <c r="G18" s="14">
        <v>268</v>
      </c>
      <c r="H18" s="14">
        <v>220</v>
      </c>
      <c r="I18" s="14">
        <v>294</v>
      </c>
      <c r="J18" s="14">
        <f>1089-SUM(G18:I18)</f>
        <v>307</v>
      </c>
      <c r="K18" s="14">
        <v>165</v>
      </c>
      <c r="L18" s="14">
        <v>117</v>
      </c>
      <c r="M18" s="14">
        <v>186</v>
      </c>
      <c r="N18" s="14">
        <f>644-SUM(K18:M18)</f>
        <v>176</v>
      </c>
      <c r="O18" s="14">
        <v>194</v>
      </c>
      <c r="P18" s="14">
        <v>167</v>
      </c>
      <c r="Q18" s="14">
        <v>142</v>
      </c>
      <c r="R18" s="14"/>
      <c r="S18" s="7"/>
      <c r="T18" s="7"/>
      <c r="U18" s="7"/>
      <c r="V18" s="7"/>
      <c r="W18" s="7"/>
      <c r="X18" s="7"/>
      <c r="Y18" s="14"/>
      <c r="Z18" s="14"/>
      <c r="AA18" s="14"/>
      <c r="AB18" s="14"/>
      <c r="AC18" s="14"/>
      <c r="AD18" s="14"/>
      <c r="AE18" s="14">
        <f>651+5091</f>
        <v>5742</v>
      </c>
      <c r="AF18" s="14">
        <v>5771</v>
      </c>
      <c r="AG18" s="14">
        <v>1089</v>
      </c>
      <c r="AH18" s="14">
        <v>644</v>
      </c>
    </row>
    <row r="19" spans="2:35" x14ac:dyDescent="0.2">
      <c r="B19" s="20" t="s">
        <v>192</v>
      </c>
      <c r="C19" s="14"/>
      <c r="D19" s="14"/>
      <c r="E19" s="14"/>
      <c r="F19" s="14"/>
      <c r="G19" s="14">
        <f t="shared" ref="G19:Q19" si="5">SUM(G15:G18)</f>
        <v>662</v>
      </c>
      <c r="H19" s="14">
        <f>SUM(H15:H18)</f>
        <v>737</v>
      </c>
      <c r="I19" s="14">
        <f t="shared" si="5"/>
        <v>822</v>
      </c>
      <c r="J19" s="14">
        <f t="shared" si="5"/>
        <v>1050</v>
      </c>
      <c r="K19" s="14">
        <f t="shared" si="5"/>
        <v>1439</v>
      </c>
      <c r="L19" s="14">
        <f t="shared" si="5"/>
        <v>1419</v>
      </c>
      <c r="M19" s="14">
        <f t="shared" si="5"/>
        <v>1762</v>
      </c>
      <c r="N19" s="14">
        <f t="shared" si="5"/>
        <v>1104</v>
      </c>
      <c r="O19" s="14">
        <f t="shared" si="5"/>
        <v>775</v>
      </c>
      <c r="P19" s="14">
        <f t="shared" si="5"/>
        <v>968</v>
      </c>
      <c r="Q19" s="14">
        <f t="shared" si="5"/>
        <v>1039</v>
      </c>
      <c r="R19" s="14">
        <v>1042</v>
      </c>
      <c r="S19" s="7"/>
      <c r="T19" s="7"/>
      <c r="U19" s="7"/>
      <c r="V19" s="7"/>
      <c r="W19" s="7"/>
      <c r="X19" s="7"/>
      <c r="Y19" s="14"/>
      <c r="Z19" s="14"/>
      <c r="AA19" s="14"/>
      <c r="AB19" s="14"/>
      <c r="AC19" s="14"/>
      <c r="AD19" s="14"/>
      <c r="AE19" s="14">
        <f>SUM(AE16:AE18)</f>
        <v>6709</v>
      </c>
      <c r="AF19" s="14">
        <f>SUM(AF16:AF18)</f>
        <v>7157</v>
      </c>
      <c r="AG19" s="14">
        <f>SUM(AG16:AG18)</f>
        <v>2958</v>
      </c>
      <c r="AH19" s="14">
        <f>SUM(AH16:AH18)</f>
        <v>2723</v>
      </c>
      <c r="AI19" s="1">
        <f>+SUM(O19:R19)</f>
        <v>3824</v>
      </c>
    </row>
    <row r="20" spans="2:35" x14ac:dyDescent="0.2">
      <c r="B20" s="30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3"/>
      <c r="T20" s="13"/>
      <c r="U20" s="13"/>
      <c r="V20" s="13"/>
      <c r="W20" s="13"/>
      <c r="X20" s="13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2:35" x14ac:dyDescent="0.2">
      <c r="B21" s="20" t="s">
        <v>150</v>
      </c>
      <c r="C21" s="14"/>
      <c r="D21" s="14"/>
      <c r="E21" s="14"/>
      <c r="F21" s="14"/>
      <c r="G21" s="14">
        <f t="shared" ref="G21:R21" si="6">+G11+G13+G19</f>
        <v>18197</v>
      </c>
      <c r="H21" s="14">
        <f t="shared" si="6"/>
        <v>15321</v>
      </c>
      <c r="I21" s="14">
        <f t="shared" si="6"/>
        <v>15338</v>
      </c>
      <c r="J21" s="14">
        <f t="shared" si="6"/>
        <v>14042</v>
      </c>
      <c r="K21" s="14">
        <f t="shared" si="6"/>
        <v>16427</v>
      </c>
      <c r="L21" s="14">
        <f t="shared" si="6"/>
        <v>13567</v>
      </c>
      <c r="M21" s="14">
        <f t="shared" si="6"/>
        <v>19625</v>
      </c>
      <c r="N21" s="14">
        <f t="shared" si="6"/>
        <v>15404</v>
      </c>
      <c r="O21" s="14">
        <f t="shared" si="6"/>
        <v>17077</v>
      </c>
      <c r="P21" s="14">
        <f t="shared" si="6"/>
        <v>17087</v>
      </c>
      <c r="Q21" s="14">
        <f t="shared" si="6"/>
        <v>17581</v>
      </c>
      <c r="R21" s="14">
        <f t="shared" si="6"/>
        <v>18571</v>
      </c>
      <c r="S21" s="7"/>
      <c r="T21" s="7"/>
      <c r="U21" s="7"/>
      <c r="V21" s="7"/>
      <c r="W21" s="7"/>
      <c r="X21" s="7"/>
      <c r="Y21" s="14">
        <v>55870</v>
      </c>
      <c r="Z21" s="14">
        <v>55355</v>
      </c>
      <c r="AA21" s="14">
        <v>59387</v>
      </c>
      <c r="AB21" s="14">
        <v>62761</v>
      </c>
      <c r="AC21" s="14">
        <v>70848</v>
      </c>
      <c r="AD21" s="14">
        <v>71965</v>
      </c>
      <c r="AE21" s="14">
        <f>+AE11+AE19</f>
        <v>77789</v>
      </c>
      <c r="AF21" s="14">
        <f>+AF11+AF19</f>
        <v>78677</v>
      </c>
      <c r="AG21" s="14">
        <f>+AG11+AG19</f>
        <v>62585</v>
      </c>
      <c r="AH21" s="14">
        <f>+AH11+AH19</f>
        <v>53276</v>
      </c>
      <c r="AI21" s="1">
        <f>+SUM(O21:R21)</f>
        <v>70316</v>
      </c>
    </row>
    <row r="22" spans="2:35" x14ac:dyDescent="0.2">
      <c r="B22" s="6" t="s">
        <v>144</v>
      </c>
      <c r="C22" s="14"/>
      <c r="D22" s="14"/>
      <c r="E22" s="14"/>
      <c r="F22" s="14"/>
      <c r="G22" s="14"/>
      <c r="H22" s="14"/>
      <c r="I22" s="14"/>
      <c r="J22" s="14"/>
      <c r="K22" s="14">
        <v>-4713</v>
      </c>
      <c r="L22" s="14"/>
      <c r="M22" s="14"/>
      <c r="N22" s="14"/>
      <c r="O22" s="14">
        <v>-4353</v>
      </c>
      <c r="P22" s="14">
        <v>-4254</v>
      </c>
      <c r="Q22" s="14">
        <v>-4297</v>
      </c>
      <c r="R22" s="14">
        <v>-4311</v>
      </c>
      <c r="S22" s="7"/>
      <c r="T22" s="7"/>
      <c r="U22" s="7"/>
      <c r="V22" s="7"/>
      <c r="W22" s="7"/>
      <c r="X22" s="7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">
        <f>+SUM(O22:R22)</f>
        <v>-17215</v>
      </c>
    </row>
    <row r="23" spans="2:35" x14ac:dyDescent="0.2">
      <c r="B23" s="20" t="s">
        <v>102</v>
      </c>
      <c r="C23" s="14"/>
      <c r="D23" s="14"/>
      <c r="E23" s="14"/>
      <c r="F23" s="14"/>
      <c r="G23" s="14">
        <f t="shared" ref="G23:N23" si="7">+G21+G22</f>
        <v>18197</v>
      </c>
      <c r="H23" s="14">
        <f t="shared" si="7"/>
        <v>15321</v>
      </c>
      <c r="I23" s="14">
        <f t="shared" si="7"/>
        <v>15338</v>
      </c>
      <c r="J23" s="14">
        <f t="shared" si="7"/>
        <v>14042</v>
      </c>
      <c r="K23" s="14">
        <f t="shared" si="7"/>
        <v>11714</v>
      </c>
      <c r="L23" s="14">
        <f t="shared" si="7"/>
        <v>13567</v>
      </c>
      <c r="M23" s="14">
        <f t="shared" si="7"/>
        <v>19625</v>
      </c>
      <c r="N23" s="14">
        <f t="shared" si="7"/>
        <v>15404</v>
      </c>
      <c r="O23" s="14">
        <f>+O21+O22</f>
        <v>12724</v>
      </c>
      <c r="P23" s="14">
        <f>+P21+P22</f>
        <v>12833</v>
      </c>
      <c r="Q23" s="14">
        <f>+Q21+Q22</f>
        <v>13284</v>
      </c>
      <c r="R23" s="14">
        <f>+R21+R22</f>
        <v>14260</v>
      </c>
      <c r="S23" s="7"/>
      <c r="T23" s="7"/>
      <c r="U23" s="7"/>
      <c r="V23" s="7"/>
      <c r="W23" s="7"/>
      <c r="X23" s="7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">
        <f>+SUM(O23:R23)</f>
        <v>53101</v>
      </c>
    </row>
    <row r="24" spans="2:35" x14ac:dyDescent="0.2">
      <c r="B24" s="3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3"/>
      <c r="T24" s="13"/>
      <c r="U24" s="13"/>
      <c r="V24" s="13"/>
      <c r="W24" s="13"/>
      <c r="X24" s="13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2:35" x14ac:dyDescent="0.2">
      <c r="B25" s="36" t="s">
        <v>24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  <c r="T25" s="38"/>
      <c r="U25" s="38"/>
      <c r="V25" s="38"/>
      <c r="W25" s="38"/>
      <c r="X25" s="38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9"/>
    </row>
    <row r="26" spans="2:35" x14ac:dyDescent="0.2">
      <c r="B26" s="6" t="s">
        <v>99</v>
      </c>
      <c r="C26" s="1"/>
      <c r="D26" s="1"/>
      <c r="E26" s="1"/>
      <c r="F26" s="1"/>
      <c r="G26" s="1">
        <v>2722</v>
      </c>
      <c r="H26" s="1">
        <v>876</v>
      </c>
      <c r="I26" s="1">
        <v>1447</v>
      </c>
      <c r="J26" s="1">
        <f>5569-SUM(G26:I26)</f>
        <v>524</v>
      </c>
      <c r="K26" s="1">
        <v>1180</v>
      </c>
      <c r="L26" s="1">
        <v>1039</v>
      </c>
      <c r="M26" s="1">
        <v>2073</v>
      </c>
      <c r="N26" s="1">
        <v>2888</v>
      </c>
      <c r="O26" s="1">
        <v>2645</v>
      </c>
      <c r="P26" s="1">
        <v>2497</v>
      </c>
      <c r="Q26" s="1">
        <v>2722</v>
      </c>
      <c r="R26" s="1">
        <v>3056</v>
      </c>
      <c r="S26" s="1"/>
      <c r="T26" s="1"/>
      <c r="U26" s="1"/>
      <c r="V26" s="1"/>
      <c r="W26" s="1"/>
      <c r="X26" s="1"/>
      <c r="Y26" s="1">
        <v>10327</v>
      </c>
      <c r="Z26" s="1">
        <v>8166</v>
      </c>
      <c r="AA26" s="1">
        <v>10646</v>
      </c>
      <c r="AB26" s="1">
        <v>12919</v>
      </c>
      <c r="AC26" s="1">
        <v>14222</v>
      </c>
      <c r="AD26" s="1">
        <v>15202</v>
      </c>
      <c r="AE26" s="1">
        <v>15800</v>
      </c>
      <c r="AF26" s="1">
        <v>15523</v>
      </c>
      <c r="AG26" s="1">
        <v>5569</v>
      </c>
      <c r="AH26" s="1">
        <v>6520</v>
      </c>
      <c r="AI26" s="1">
        <f>+SUM(O26:R26)</f>
        <v>10920</v>
      </c>
    </row>
    <row r="27" spans="2:35" x14ac:dyDescent="0.2">
      <c r="B27" s="6" t="s">
        <v>100</v>
      </c>
      <c r="C27" s="1"/>
      <c r="D27" s="1"/>
      <c r="E27" s="1"/>
      <c r="F27" s="1"/>
      <c r="G27" s="1">
        <v>1393</v>
      </c>
      <c r="H27" s="1">
        <v>-80</v>
      </c>
      <c r="I27" s="1">
        <v>-139</v>
      </c>
      <c r="J27" s="1">
        <f>1300-SUM(G27:I27)</f>
        <v>126</v>
      </c>
      <c r="K27" s="1">
        <v>22</v>
      </c>
      <c r="L27" s="1">
        <v>-161</v>
      </c>
      <c r="M27" s="1">
        <v>71</v>
      </c>
      <c r="N27" s="1">
        <v>78</v>
      </c>
      <c r="O27" s="1">
        <v>482</v>
      </c>
      <c r="P27" s="1">
        <v>276</v>
      </c>
      <c r="Q27" s="1">
        <v>347</v>
      </c>
      <c r="R27" s="1">
        <v>233</v>
      </c>
      <c r="S27" s="1"/>
      <c r="T27" s="1"/>
      <c r="U27" s="1"/>
      <c r="V27" s="1"/>
      <c r="W27" s="1"/>
      <c r="X27" s="1"/>
      <c r="Y27" s="1">
        <v>7380</v>
      </c>
      <c r="Z27" s="1">
        <v>7847</v>
      </c>
      <c r="AA27" s="1">
        <v>7520</v>
      </c>
      <c r="AB27" s="1">
        <v>8395</v>
      </c>
      <c r="AC27" s="1">
        <v>11476</v>
      </c>
      <c r="AD27" s="1">
        <v>10227</v>
      </c>
      <c r="AE27" s="1">
        <v>11076</v>
      </c>
      <c r="AF27" s="1">
        <v>7376</v>
      </c>
      <c r="AG27" s="1">
        <v>1300</v>
      </c>
      <c r="AH27" s="1">
        <v>-530</v>
      </c>
      <c r="AI27" s="1">
        <f>+SUM(O27:R27)</f>
        <v>1338</v>
      </c>
    </row>
    <row r="28" spans="2:35" x14ac:dyDescent="0.2">
      <c r="B28" s="6" t="s">
        <v>101</v>
      </c>
      <c r="C28" s="14"/>
      <c r="D28" s="14"/>
      <c r="E28" s="14"/>
      <c r="F28" s="14"/>
      <c r="G28" s="14">
        <v>416</v>
      </c>
      <c r="H28" s="14">
        <v>294</v>
      </c>
      <c r="I28" s="14">
        <v>197</v>
      </c>
      <c r="J28" s="14">
        <f>1033-SUM(G28:I28)</f>
        <v>126</v>
      </c>
      <c r="K28" s="14">
        <v>-69</v>
      </c>
      <c r="L28" s="14">
        <v>-187</v>
      </c>
      <c r="M28" s="14">
        <v>17</v>
      </c>
      <c r="N28" s="14">
        <v>-12</v>
      </c>
      <c r="O28" s="14">
        <v>184</v>
      </c>
      <c r="P28" s="14">
        <v>139</v>
      </c>
      <c r="Q28" s="14">
        <v>268</v>
      </c>
      <c r="R28" s="14">
        <v>340</v>
      </c>
      <c r="S28" s="7"/>
      <c r="T28" s="7"/>
      <c r="U28" s="7"/>
      <c r="V28" s="7"/>
      <c r="W28" s="7"/>
      <c r="X28" s="7"/>
      <c r="Y28" s="14"/>
      <c r="Z28" s="14"/>
      <c r="AA28" s="14"/>
      <c r="AB28" s="14"/>
      <c r="AC28" s="14"/>
      <c r="AD28" s="14"/>
      <c r="AE28" s="14">
        <v>846</v>
      </c>
      <c r="AF28" s="14">
        <v>1935</v>
      </c>
      <c r="AG28" s="14">
        <v>1033</v>
      </c>
      <c r="AH28" s="14">
        <v>-482</v>
      </c>
      <c r="AI28" s="1">
        <f>+SUM(O28:R28)</f>
        <v>931</v>
      </c>
    </row>
    <row r="29" spans="2:35" x14ac:dyDescent="0.2">
      <c r="B29" s="20" t="s">
        <v>193</v>
      </c>
      <c r="C29" s="14"/>
      <c r="D29" s="14"/>
      <c r="E29" s="14"/>
      <c r="F29" s="14"/>
      <c r="G29" s="14">
        <f t="shared" ref="G29:N29" si="8">SUM(G26:G28)</f>
        <v>4531</v>
      </c>
      <c r="H29" s="14">
        <f>SUM(H26:H28)</f>
        <v>1090</v>
      </c>
      <c r="I29" s="14">
        <f t="shared" si="8"/>
        <v>1505</v>
      </c>
      <c r="J29" s="14">
        <f t="shared" si="8"/>
        <v>776</v>
      </c>
      <c r="K29" s="14">
        <f>SUM(K26:K28)</f>
        <v>1133</v>
      </c>
      <c r="L29" s="14">
        <f>SUM(L26:L28)</f>
        <v>691</v>
      </c>
      <c r="M29" s="14">
        <f t="shared" si="8"/>
        <v>2161</v>
      </c>
      <c r="N29" s="14">
        <f t="shared" si="8"/>
        <v>2954</v>
      </c>
      <c r="O29" s="14">
        <f>SUM(O26:O28)</f>
        <v>3311</v>
      </c>
      <c r="P29" s="14">
        <f>SUM(P26:P28)</f>
        <v>2912</v>
      </c>
      <c r="Q29" s="14">
        <f>SUM(Q26:Q28)</f>
        <v>3337</v>
      </c>
      <c r="R29" s="14">
        <f>SUM(R26:R28)</f>
        <v>3629</v>
      </c>
      <c r="S29" s="7"/>
      <c r="T29" s="7"/>
      <c r="U29" s="7"/>
      <c r="V29" s="7"/>
      <c r="W29" s="7"/>
      <c r="X29" s="7"/>
      <c r="Y29" s="14"/>
      <c r="Z29" s="14"/>
      <c r="AA29" s="14"/>
      <c r="AB29" s="14"/>
      <c r="AC29" s="14"/>
      <c r="AD29" s="14"/>
      <c r="AE29" s="14">
        <f>SUM(AE26:AE28)</f>
        <v>27722</v>
      </c>
      <c r="AF29" s="14">
        <f>SUM(AF26:AF28)</f>
        <v>24834</v>
      </c>
      <c r="AG29" s="14">
        <f>SUM(AG26:AG28)</f>
        <v>7902</v>
      </c>
      <c r="AH29" s="14">
        <f>SUM(AH26:AH28)</f>
        <v>5508</v>
      </c>
      <c r="AI29" s="14">
        <f>SUM(AI26:AI28)</f>
        <v>13189</v>
      </c>
    </row>
    <row r="30" spans="2:35" x14ac:dyDescent="0.2">
      <c r="B30" s="1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3"/>
      <c r="T30" s="13"/>
      <c r="U30" s="13"/>
      <c r="V30" s="13"/>
      <c r="W30" s="13"/>
      <c r="X30" s="13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2:35" x14ac:dyDescent="0.2">
      <c r="B31" t="s">
        <v>74</v>
      </c>
      <c r="C31" s="14"/>
      <c r="D31" s="14"/>
      <c r="E31" s="14"/>
      <c r="F31" s="14"/>
      <c r="G31" s="14"/>
      <c r="H31" s="14"/>
      <c r="I31" s="14"/>
      <c r="J31" s="14"/>
      <c r="K31" s="14">
        <v>-2360</v>
      </c>
      <c r="L31" s="14"/>
      <c r="M31" s="14"/>
      <c r="N31" s="14"/>
      <c r="O31" s="14">
        <v>-2474</v>
      </c>
      <c r="P31" s="14">
        <v>-2830</v>
      </c>
      <c r="Q31" s="14">
        <v>-5844</v>
      </c>
      <c r="R31" s="14">
        <v>-2260</v>
      </c>
      <c r="S31" s="7"/>
      <c r="T31" s="7"/>
      <c r="U31" s="7"/>
      <c r="V31" s="7"/>
      <c r="W31" s="7"/>
      <c r="X31" s="7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">
        <f>+SUM(O31:R31)</f>
        <v>-13408</v>
      </c>
    </row>
    <row r="32" spans="2:35" x14ac:dyDescent="0.2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7"/>
      <c r="T32" s="7"/>
      <c r="U32" s="7"/>
      <c r="V32" s="7"/>
      <c r="W32" s="7"/>
      <c r="X32" s="7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2:35" x14ac:dyDescent="0.2">
      <c r="B33" s="29" t="s">
        <v>75</v>
      </c>
      <c r="C33" s="14"/>
      <c r="D33" s="14"/>
      <c r="E33" s="14"/>
      <c r="F33" s="14"/>
      <c r="G33" s="14"/>
      <c r="H33" s="14"/>
      <c r="I33" s="14"/>
      <c r="J33" s="14"/>
      <c r="K33" s="14">
        <v>290</v>
      </c>
      <c r="L33" s="14"/>
      <c r="M33" s="14"/>
      <c r="N33" s="14"/>
      <c r="O33" s="14">
        <v>-39</v>
      </c>
      <c r="P33" s="14">
        <v>-25</v>
      </c>
      <c r="Q33" s="14">
        <v>9</v>
      </c>
      <c r="R33" s="14"/>
      <c r="S33" s="7"/>
      <c r="T33" s="7"/>
      <c r="U33" s="7"/>
      <c r="V33" s="7"/>
      <c r="W33" s="7"/>
      <c r="X33" s="7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2:35" x14ac:dyDescent="0.2">
      <c r="B34" s="29" t="s">
        <v>76</v>
      </c>
      <c r="C34" s="14"/>
      <c r="D34" s="14"/>
      <c r="E34" s="14"/>
      <c r="F34" s="14"/>
      <c r="G34" s="14">
        <v>148</v>
      </c>
      <c r="H34" s="14">
        <v>190</v>
      </c>
      <c r="I34" s="14">
        <v>142</v>
      </c>
      <c r="J34" s="14">
        <f>690-SUM(G34:I34)</f>
        <v>210</v>
      </c>
      <c r="K34" s="14">
        <v>123</v>
      </c>
      <c r="L34" s="14">
        <v>129</v>
      </c>
      <c r="M34" s="14">
        <v>170</v>
      </c>
      <c r="N34" s="14">
        <f>664-SUM(K34:M34)</f>
        <v>242</v>
      </c>
      <c r="O34" s="14">
        <v>-68</v>
      </c>
      <c r="P34" s="14">
        <v>72</v>
      </c>
      <c r="Q34" s="14">
        <v>78</v>
      </c>
      <c r="R34" s="14"/>
      <c r="S34" s="7"/>
      <c r="T34" s="7"/>
      <c r="U34" s="7"/>
      <c r="V34" s="7"/>
      <c r="W34" s="7"/>
      <c r="X34" s="7"/>
      <c r="Y34" s="14"/>
      <c r="Z34" s="14"/>
      <c r="AA34" s="14"/>
      <c r="AB34" s="14"/>
      <c r="AC34" s="14">
        <v>143</v>
      </c>
      <c r="AD34" s="14">
        <v>245</v>
      </c>
      <c r="AE34" s="14">
        <v>323</v>
      </c>
      <c r="AF34" s="14">
        <v>554</v>
      </c>
      <c r="AG34" s="14">
        <v>690</v>
      </c>
      <c r="AH34" s="14">
        <v>664</v>
      </c>
    </row>
    <row r="35" spans="2:35" x14ac:dyDescent="0.2">
      <c r="B35" s="29" t="s">
        <v>148</v>
      </c>
      <c r="C35" s="14"/>
      <c r="D35" s="14"/>
      <c r="E35" s="14"/>
      <c r="F35" s="14"/>
      <c r="G35" s="14"/>
      <c r="H35" s="14">
        <v>-134</v>
      </c>
      <c r="I35" s="14">
        <v>-90</v>
      </c>
      <c r="J35" s="14">
        <v>-34</v>
      </c>
      <c r="K35" s="14"/>
      <c r="L35" s="14">
        <v>-143</v>
      </c>
      <c r="M35" s="14">
        <v>-86</v>
      </c>
      <c r="N35" s="14">
        <v>-113</v>
      </c>
      <c r="O35" s="14"/>
      <c r="P35" s="1"/>
      <c r="Q35" s="14"/>
      <c r="R35" s="14"/>
      <c r="S35" s="7"/>
      <c r="T35" s="7"/>
      <c r="U35" s="7"/>
      <c r="V35" s="7"/>
      <c r="W35" s="7"/>
      <c r="X35" s="7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2:35" x14ac:dyDescent="0.2">
      <c r="B36" s="29" t="s">
        <v>25</v>
      </c>
      <c r="C36" s="14"/>
      <c r="D36" s="14"/>
      <c r="E36" s="14"/>
      <c r="F36" s="14"/>
      <c r="G36" s="14">
        <v>-315</v>
      </c>
      <c r="H36" s="14">
        <v>-1846</v>
      </c>
      <c r="I36" s="14">
        <v>-1732</v>
      </c>
      <c r="J36" s="14">
        <f>-5977-SUM(G36:I36)</f>
        <v>-2084</v>
      </c>
      <c r="K36" s="14">
        <v>-66</v>
      </c>
      <c r="L36" s="14">
        <v>-1693</v>
      </c>
      <c r="M36" s="14">
        <v>-2253</v>
      </c>
      <c r="N36" s="14">
        <v>-498</v>
      </c>
      <c r="O36" s="14">
        <v>-105</v>
      </c>
      <c r="P36" s="14">
        <v>-82</v>
      </c>
      <c r="Q36" s="14">
        <v>-42</v>
      </c>
      <c r="R36" s="14"/>
      <c r="S36" s="7"/>
      <c r="T36" s="7"/>
      <c r="U36" s="7"/>
      <c r="V36" s="7"/>
      <c r="W36" s="7"/>
      <c r="X36" s="7"/>
      <c r="Y36" s="14"/>
      <c r="Z36" s="14"/>
      <c r="AA36" s="14"/>
      <c r="AB36" s="14"/>
      <c r="AC36" s="14"/>
      <c r="AD36" s="14"/>
      <c r="AE36" s="14">
        <f>+-403-4009</f>
        <v>-4412</v>
      </c>
      <c r="AF36" s="14">
        <v>-6008</v>
      </c>
      <c r="AG36" s="14">
        <v>-5977</v>
      </c>
      <c r="AH36" s="14">
        <v>-5597</v>
      </c>
    </row>
    <row r="37" spans="2:35" s="1" customFormat="1" x14ac:dyDescent="0.2">
      <c r="B37" s="1" t="s">
        <v>192</v>
      </c>
      <c r="C37" s="14"/>
      <c r="D37" s="14"/>
      <c r="E37" s="14"/>
      <c r="F37" s="14"/>
      <c r="G37" s="14">
        <f t="shared" ref="G37:N37" si="9">+SUM(G33:G36)</f>
        <v>-167</v>
      </c>
      <c r="H37" s="14">
        <f t="shared" si="9"/>
        <v>-1790</v>
      </c>
      <c r="I37" s="14">
        <f t="shared" si="9"/>
        <v>-1680</v>
      </c>
      <c r="J37" s="14">
        <f t="shared" si="9"/>
        <v>-1908</v>
      </c>
      <c r="K37" s="14">
        <f t="shared" si="9"/>
        <v>347</v>
      </c>
      <c r="L37" s="14">
        <f>+SUM(L33:L36)</f>
        <v>-1707</v>
      </c>
      <c r="M37" s="14">
        <f t="shared" si="9"/>
        <v>-2169</v>
      </c>
      <c r="N37" s="14">
        <f t="shared" si="9"/>
        <v>-369</v>
      </c>
      <c r="O37" s="14">
        <f>+SUM(O33:O36)</f>
        <v>-212</v>
      </c>
      <c r="P37" s="14">
        <f>+SUM(P33:P36)</f>
        <v>-35</v>
      </c>
      <c r="Q37" s="14">
        <f>+SUM(Q33:Q36)</f>
        <v>45</v>
      </c>
      <c r="R37" s="14">
        <v>118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>
        <f>+SUM(G37:J37)</f>
        <v>-5545</v>
      </c>
      <c r="AH37" s="14">
        <f>+SUM(K37:N37)</f>
        <v>-3898</v>
      </c>
      <c r="AI37" s="1">
        <f>+SUM(O37:R37)</f>
        <v>-84</v>
      </c>
    </row>
    <row r="38" spans="2:35" s="1" customFormat="1" x14ac:dyDescent="0.2">
      <c r="B38" s="26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2:35" s="1" customFormat="1" x14ac:dyDescent="0.2">
      <c r="B39" s="26" t="s">
        <v>146</v>
      </c>
      <c r="C39" s="14"/>
      <c r="D39" s="14"/>
      <c r="E39" s="14"/>
      <c r="F39" s="14"/>
      <c r="G39" s="14"/>
      <c r="H39" s="14"/>
      <c r="I39" s="14"/>
      <c r="J39" s="14"/>
      <c r="K39" s="14">
        <f>+SUM(K29+K31+K37)</f>
        <v>-880</v>
      </c>
      <c r="L39" s="14"/>
      <c r="M39" s="14"/>
      <c r="N39" s="14"/>
      <c r="O39" s="14">
        <f>+SUM(O29+O31+O37)</f>
        <v>625</v>
      </c>
      <c r="P39" s="14">
        <f>+SUM(P29+P31+P37)</f>
        <v>47</v>
      </c>
      <c r="Q39" s="14">
        <f>+SUM(Q29+Q31+Q37)</f>
        <v>-2462</v>
      </c>
      <c r="R39" s="14">
        <f>+SUM(R29+R31+R37)</f>
        <v>1487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">
        <f>+AI29+AI31+AI37</f>
        <v>-303</v>
      </c>
    </row>
    <row r="40" spans="2:35" s="1" customFormat="1" x14ac:dyDescent="0.2">
      <c r="B40" s="26" t="s">
        <v>144</v>
      </c>
      <c r="C40" s="14"/>
      <c r="D40" s="14"/>
      <c r="E40" s="14"/>
      <c r="F40" s="14"/>
      <c r="G40" s="14"/>
      <c r="H40" s="14"/>
      <c r="I40" s="14"/>
      <c r="J40" s="14"/>
      <c r="K40" s="14">
        <v>456</v>
      </c>
      <c r="L40" s="14"/>
      <c r="M40" s="14"/>
      <c r="N40" s="14"/>
      <c r="O40" s="14">
        <v>494</v>
      </c>
      <c r="P40" s="14">
        <v>-291</v>
      </c>
      <c r="Q40" s="14">
        <v>-79</v>
      </c>
      <c r="R40" s="14">
        <v>-281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">
        <f>+SUM(O40:R40)</f>
        <v>-157</v>
      </c>
    </row>
    <row r="41" spans="2:35" s="1" customFormat="1" x14ac:dyDescent="0.2">
      <c r="B41" s="26" t="s">
        <v>145</v>
      </c>
      <c r="C41" s="14"/>
      <c r="D41" s="14"/>
      <c r="E41" s="14"/>
      <c r="F41" s="14"/>
      <c r="G41" s="14"/>
      <c r="H41" s="14"/>
      <c r="I41" s="14"/>
      <c r="J41" s="14"/>
      <c r="K41" s="14">
        <v>-1044</v>
      </c>
      <c r="L41" s="14"/>
      <c r="M41" s="14"/>
      <c r="N41" s="14"/>
      <c r="O41" s="14">
        <v>-2188</v>
      </c>
      <c r="P41" s="14">
        <v>-1720</v>
      </c>
      <c r="Q41" s="14">
        <v>-6516</v>
      </c>
      <c r="R41" s="14">
        <v>-794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">
        <f>+SUM(O41:R41)</f>
        <v>-11218</v>
      </c>
    </row>
    <row r="42" spans="2:35" s="1" customFormat="1" x14ac:dyDescent="0.2">
      <c r="B42" s="26"/>
      <c r="C42" s="14"/>
      <c r="D42" s="14"/>
      <c r="E42" s="14"/>
      <c r="F42" s="14"/>
      <c r="G42" s="14"/>
      <c r="H42" s="14"/>
      <c r="I42" s="14"/>
      <c r="J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2:35" s="1" customFormat="1" x14ac:dyDescent="0.2">
      <c r="B43" s="26" t="s">
        <v>151</v>
      </c>
      <c r="C43" s="14"/>
      <c r="D43" s="14"/>
      <c r="E43" s="14"/>
      <c r="F43" s="14"/>
      <c r="G43" s="14">
        <f>+G37+G29</f>
        <v>4364</v>
      </c>
      <c r="H43" s="14">
        <f>+H37+H29</f>
        <v>-700</v>
      </c>
      <c r="I43" s="14">
        <f>+I37+I29</f>
        <v>-175</v>
      </c>
      <c r="J43" s="14">
        <f>+J37+J29</f>
        <v>-1132</v>
      </c>
      <c r="K43" s="14">
        <f>+SUM(K39:K41)</f>
        <v>-1468</v>
      </c>
      <c r="L43" s="14">
        <f>+L37+L29</f>
        <v>-1016</v>
      </c>
      <c r="M43" s="14">
        <f>+M37+M29</f>
        <v>-8</v>
      </c>
      <c r="N43" s="14">
        <f>+N37+N29</f>
        <v>2585</v>
      </c>
      <c r="O43" s="14">
        <f>+SUM(O39:O41)</f>
        <v>-1069</v>
      </c>
      <c r="P43" s="14">
        <f>+SUM(P39:P41)</f>
        <v>-1964</v>
      </c>
      <c r="Q43" s="14">
        <f>+SUM(Q39:Q41)</f>
        <v>-9057</v>
      </c>
      <c r="R43" s="14">
        <f>+SUM(R39:R41)</f>
        <v>412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>
        <f>+SUM(AI39:AI41)</f>
        <v>-11678</v>
      </c>
    </row>
    <row r="44" spans="2:35" x14ac:dyDescent="0.2">
      <c r="B44" s="26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"/>
    </row>
    <row r="45" spans="2:35" x14ac:dyDescent="0.2">
      <c r="B45" s="40" t="s">
        <v>32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41"/>
    </row>
    <row r="46" spans="2:35" s="8" customFormat="1" x14ac:dyDescent="0.2">
      <c r="B46" s="25" t="s">
        <v>99</v>
      </c>
      <c r="C46" s="42"/>
      <c r="D46" s="42"/>
      <c r="E46" s="42"/>
      <c r="F46" s="42"/>
      <c r="G46" s="42">
        <f t="shared" ref="G46:P46" si="10">+G26/G8</f>
        <v>0.29199742544518342</v>
      </c>
      <c r="H46" s="42">
        <f t="shared" si="10"/>
        <v>0.11409221151341495</v>
      </c>
      <c r="I46" s="42">
        <f t="shared" si="10"/>
        <v>0.1780265748031496</v>
      </c>
      <c r="J46" s="42">
        <f t="shared" si="10"/>
        <v>7.8856282919488332E-2</v>
      </c>
      <c r="K46" s="42">
        <f t="shared" si="10"/>
        <v>0.20461245014739032</v>
      </c>
      <c r="L46" s="42">
        <f t="shared" si="10"/>
        <v>0.1532448377581121</v>
      </c>
      <c r="M46" s="42">
        <f t="shared" si="10"/>
        <v>0.26350578365323502</v>
      </c>
      <c r="N46" s="42">
        <f t="shared" si="10"/>
        <v>0.32654907281772955</v>
      </c>
      <c r="O46" s="42">
        <f t="shared" si="10"/>
        <v>0.35112173105004646</v>
      </c>
      <c r="P46" s="42">
        <f t="shared" si="10"/>
        <v>0.33697705802968964</v>
      </c>
      <c r="Q46" s="42">
        <f>+Q26/Q8</f>
        <v>0.37135061391541607</v>
      </c>
      <c r="R46" s="42">
        <f>+R26/R8</f>
        <v>0.38118997131096422</v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8">
        <f>+AI26/AI8</f>
        <v>0.36051502145922748</v>
      </c>
    </row>
    <row r="47" spans="2:35" s="8" customFormat="1" x14ac:dyDescent="0.2">
      <c r="B47" s="25" t="s">
        <v>100</v>
      </c>
      <c r="C47" s="42"/>
      <c r="D47" s="42"/>
      <c r="E47" s="42"/>
      <c r="F47" s="42"/>
      <c r="G47" s="42">
        <f t="shared" ref="G47:Q47" si="11">+G27/G9</f>
        <v>0.22933816266052026</v>
      </c>
      <c r="H47" s="42">
        <f t="shared" si="11"/>
        <v>-1.7039403620873271E-2</v>
      </c>
      <c r="I47" s="42">
        <f t="shared" si="11"/>
        <v>-3.2667450058754405E-2</v>
      </c>
      <c r="J47" s="42">
        <f t="shared" si="11"/>
        <v>2.850033928975345E-2</v>
      </c>
      <c r="K47" s="42">
        <f t="shared" si="11"/>
        <v>7.5835918648741816E-3</v>
      </c>
      <c r="L47" s="42">
        <f t="shared" si="11"/>
        <v>-4.0209790209790208E-2</v>
      </c>
      <c r="M47" s="42">
        <f t="shared" si="11"/>
        <v>1.8615626638699527E-2</v>
      </c>
      <c r="N47" s="42">
        <f t="shared" si="11"/>
        <v>1.957340025094103E-2</v>
      </c>
      <c r="O47" s="42">
        <f t="shared" si="11"/>
        <v>0.15876152832674573</v>
      </c>
      <c r="P47" s="42">
        <f t="shared" si="11"/>
        <v>9.0640394088669946E-2</v>
      </c>
      <c r="Q47" s="42">
        <f t="shared" si="11"/>
        <v>0.10361301881158555</v>
      </c>
      <c r="R47" s="42">
        <f>+R27/R9</f>
        <v>6.8792441688810158E-2</v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8">
        <f>+AI27/AI9</f>
        <v>0.10439260357337911</v>
      </c>
    </row>
    <row r="48" spans="2:35" s="8" customFormat="1" x14ac:dyDescent="0.2">
      <c r="B48" s="25" t="s">
        <v>101</v>
      </c>
      <c r="C48" s="42"/>
      <c r="D48" s="42"/>
      <c r="E48" s="42"/>
      <c r="F48" s="42"/>
      <c r="G48" s="42">
        <f t="shared" ref="G48:Q48" si="12">+G28/G10</f>
        <v>0.19448340345956056</v>
      </c>
      <c r="H48" s="42">
        <f t="shared" si="12"/>
        <v>0.13297150610583447</v>
      </c>
      <c r="I48" s="42">
        <f t="shared" si="12"/>
        <v>9.2358180965775902E-2</v>
      </c>
      <c r="J48" s="42">
        <f t="shared" si="12"/>
        <v>6.5420560747663545E-2</v>
      </c>
      <c r="K48" s="42">
        <f t="shared" si="12"/>
        <v>-4.6339825386165212E-2</v>
      </c>
      <c r="L48" s="42">
        <f t="shared" si="12"/>
        <v>-0.13709677419354838</v>
      </c>
      <c r="M48" s="42">
        <f t="shared" si="12"/>
        <v>1.1724137931034483E-2</v>
      </c>
      <c r="N48" s="42">
        <f t="shared" si="12"/>
        <v>-8.1577158395649222E-3</v>
      </c>
      <c r="O48" s="42">
        <f t="shared" si="12"/>
        <v>0.13489736070381231</v>
      </c>
      <c r="P48" s="42">
        <f t="shared" si="12"/>
        <v>0.10342261904761904</v>
      </c>
      <c r="Q48" s="42">
        <f t="shared" si="12"/>
        <v>0.17736598279285243</v>
      </c>
      <c r="R48" s="42">
        <f>+R28/R10</f>
        <v>0.20948860135551448</v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8">
        <f>+AI28/AI10</f>
        <v>0.1593632317699418</v>
      </c>
    </row>
    <row r="49" spans="2:35" s="8" customFormat="1" x14ac:dyDescent="0.2">
      <c r="B49" s="9" t="s">
        <v>194</v>
      </c>
      <c r="C49" s="43"/>
      <c r="D49" s="43"/>
      <c r="E49" s="43"/>
      <c r="F49" s="43"/>
      <c r="G49" s="43">
        <f t="shared" ref="G49:Q49" si="13">+G29/G11</f>
        <v>0.25839749073282009</v>
      </c>
      <c r="H49" s="43">
        <f t="shared" si="13"/>
        <v>7.4739440482720784E-2</v>
      </c>
      <c r="I49" s="43">
        <f t="shared" si="13"/>
        <v>0.10367869936621658</v>
      </c>
      <c r="J49" s="43">
        <f t="shared" si="13"/>
        <v>5.972906403940887E-2</v>
      </c>
      <c r="K49" s="43">
        <f t="shared" si="13"/>
        <v>0.1115486856355223</v>
      </c>
      <c r="L49" s="43">
        <f t="shared" si="13"/>
        <v>5.6881791241356602E-2</v>
      </c>
      <c r="M49" s="43">
        <f t="shared" si="13"/>
        <v>0.16457238595689588</v>
      </c>
      <c r="N49" s="43">
        <f t="shared" si="13"/>
        <v>0.20657342657342656</v>
      </c>
      <c r="O49" s="43">
        <f t="shared" si="13"/>
        <v>0.27746585100142462</v>
      </c>
      <c r="P49" s="43">
        <f t="shared" si="13"/>
        <v>0.24680057632002711</v>
      </c>
      <c r="Q49" s="43">
        <f t="shared" si="13"/>
        <v>0.27374897456931913</v>
      </c>
      <c r="R49" s="43">
        <f>+R29/R11</f>
        <v>0.27857526675366545</v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">
        <f>+AI29/AI11</f>
        <v>0.2694437067151525</v>
      </c>
    </row>
    <row r="50" spans="2:35" s="8" customFormat="1" x14ac:dyDescent="0.2">
      <c r="B50" s="8" t="s">
        <v>74</v>
      </c>
      <c r="C50" s="42"/>
      <c r="D50" s="42"/>
      <c r="E50" s="42"/>
      <c r="F50" s="42"/>
      <c r="G50" s="42"/>
      <c r="H50" s="42"/>
      <c r="I50" s="42"/>
      <c r="J50" s="42"/>
      <c r="K50" s="42">
        <f t="shared" ref="K50" si="14">+K31/K13</f>
        <v>-0.48851169530117988</v>
      </c>
      <c r="L50" s="42"/>
      <c r="M50" s="42"/>
      <c r="N50" s="42"/>
      <c r="O50" s="42">
        <f t="shared" ref="O50:Q50" si="15">+O31/O13</f>
        <v>-0.5662623025864042</v>
      </c>
      <c r="P50" s="42">
        <f t="shared" si="15"/>
        <v>-0.65509259259259256</v>
      </c>
      <c r="Q50" s="42">
        <f t="shared" si="15"/>
        <v>-1.3428308823529411</v>
      </c>
      <c r="R50" s="42">
        <f>+R31/R13</f>
        <v>-0.5019991115059973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8">
        <f>+AI31/AI13</f>
        <v>-0.7642934503790686</v>
      </c>
    </row>
    <row r="51" spans="2:35" s="8" customFormat="1" x14ac:dyDescent="0.2">
      <c r="B51" s="8" t="s">
        <v>75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>
        <f t="shared" ref="O51:P51" si="16">+O33/O15</f>
        <v>-0.11403508771929824</v>
      </c>
      <c r="P51" s="42">
        <f t="shared" si="16"/>
        <v>-6.9252077562326875E-2</v>
      </c>
      <c r="Q51" s="42">
        <f>+Q33/Q15</f>
        <v>2.1844660194174758E-2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  <row r="52" spans="2:35" s="8" customFormat="1" x14ac:dyDescent="0.2">
      <c r="B52" s="8" t="s">
        <v>76</v>
      </c>
      <c r="C52" s="42"/>
      <c r="D52" s="42"/>
      <c r="E52" s="42"/>
      <c r="F52" s="42"/>
      <c r="G52" s="42">
        <f t="shared" ref="G52:N52" si="17">+G34/G16</f>
        <v>0.37563451776649748</v>
      </c>
      <c r="H52" s="42">
        <f t="shared" si="17"/>
        <v>0.41304347826086957</v>
      </c>
      <c r="I52" s="42">
        <f t="shared" si="17"/>
        <v>0.31555555555555553</v>
      </c>
      <c r="J52" s="42">
        <f t="shared" si="17"/>
        <v>0.37168141592920356</v>
      </c>
      <c r="K52" s="42">
        <f t="shared" si="17"/>
        <v>0.26855895196506552</v>
      </c>
      <c r="L52" s="42">
        <f t="shared" si="17"/>
        <v>0.28414096916299558</v>
      </c>
      <c r="M52" s="42">
        <f t="shared" si="17"/>
        <v>0.32075471698113206</v>
      </c>
      <c r="N52" s="42">
        <f t="shared" si="17"/>
        <v>0.37990580847723704</v>
      </c>
      <c r="O52" s="42">
        <f t="shared" ref="O52:P52" si="18">+O34/O16</f>
        <v>-0.28451882845188287</v>
      </c>
      <c r="P52" s="42">
        <f t="shared" si="18"/>
        <v>0.16363636363636364</v>
      </c>
      <c r="Q52" s="42">
        <f>+Q34/Q16</f>
        <v>0.16082474226804125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</row>
    <row r="53" spans="2:35" s="8" customFormat="1" x14ac:dyDescent="0.2">
      <c r="B53" s="9" t="s">
        <v>195</v>
      </c>
      <c r="C53" s="43"/>
      <c r="D53" s="43"/>
      <c r="E53" s="43"/>
      <c r="F53" s="43"/>
      <c r="G53" s="43">
        <f t="shared" ref="G53:Q53" si="19">+G43/G21</f>
        <v>0.23981975050832555</v>
      </c>
      <c r="H53" s="43">
        <f t="shared" si="19"/>
        <v>-4.5688923699497425E-2</v>
      </c>
      <c r="I53" s="43">
        <f t="shared" si="19"/>
        <v>-1.1409571000130394E-2</v>
      </c>
      <c r="J53" s="43">
        <f t="shared" si="19"/>
        <v>-8.0615296966244129E-2</v>
      </c>
      <c r="K53" s="43">
        <f t="shared" si="19"/>
        <v>-8.9365069702319347E-2</v>
      </c>
      <c r="L53" s="43">
        <f t="shared" si="19"/>
        <v>-7.4887594899388218E-2</v>
      </c>
      <c r="M53" s="43">
        <f t="shared" si="19"/>
        <v>-4.0764331210191084E-4</v>
      </c>
      <c r="N53" s="43">
        <f t="shared" si="19"/>
        <v>0.1678135549207998</v>
      </c>
      <c r="O53" s="43">
        <f t="shared" si="19"/>
        <v>-6.2598817122445388E-2</v>
      </c>
      <c r="P53" s="43">
        <f t="shared" si="19"/>
        <v>-0.11494118335576754</v>
      </c>
      <c r="Q53" s="43">
        <f t="shared" si="19"/>
        <v>-0.51515840964677773</v>
      </c>
      <c r="R53" s="43">
        <f>+R43/R21</f>
        <v>2.218512734909267E-2</v>
      </c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8">
        <f>+AI39/AI21</f>
        <v>-4.3091188349735476E-3</v>
      </c>
    </row>
    <row r="54" spans="2:35" x14ac:dyDescent="0.2">
      <c r="B54" s="1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"/>
    </row>
    <row r="55" spans="2:35" x14ac:dyDescent="0.2">
      <c r="B55" s="27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"/>
    </row>
    <row r="56" spans="2:35" x14ac:dyDescent="0.2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5"/>
      <c r="Q56" s="15"/>
      <c r="R56" s="15"/>
      <c r="S56" s="13"/>
      <c r="T56" s="13"/>
      <c r="U56" s="13"/>
      <c r="V56" s="13"/>
      <c r="W56" s="13"/>
      <c r="X56" s="13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2:35" x14ac:dyDescent="0.2">
      <c r="B57" s="12" t="s">
        <v>138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5"/>
      <c r="Q57" s="15"/>
      <c r="R57" s="15"/>
      <c r="S57" s="13"/>
      <c r="T57" s="13"/>
      <c r="U57" s="13"/>
      <c r="V57" s="13"/>
      <c r="W57" s="13"/>
      <c r="X57" s="13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2:35" x14ac:dyDescent="0.2">
      <c r="B58" s="26" t="s">
        <v>139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>
        <f>+AC64*0.16</f>
        <v>0</v>
      </c>
      <c r="AD58" s="14">
        <f>+AD64*0.17</f>
        <v>0</v>
      </c>
      <c r="AE58" s="14">
        <f>+AE64*0.17</f>
        <v>0</v>
      </c>
      <c r="AF58" s="14">
        <f>+AF64*0.21</f>
        <v>0</v>
      </c>
      <c r="AG58" s="14">
        <f>+AG64*0.19</f>
        <v>0</v>
      </c>
      <c r="AH58" s="14">
        <f>+AH64*0.19</f>
        <v>0</v>
      </c>
    </row>
    <row r="59" spans="2:35" x14ac:dyDescent="0.2">
      <c r="B59" s="26" t="s">
        <v>140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>
        <f>+AC64*0.12</f>
        <v>0</v>
      </c>
      <c r="AD59" s="14">
        <f>+AD64*0.13</f>
        <v>0</v>
      </c>
      <c r="AE59" s="14">
        <f>+AE64*0.12</f>
        <v>0</v>
      </c>
      <c r="AF59" s="14">
        <f>+AF64*0.12</f>
        <v>0</v>
      </c>
      <c r="AG59" s="14">
        <f>+AG64*0.12</f>
        <v>0</v>
      </c>
      <c r="AH59" s="14">
        <f>+AH64*0.11</f>
        <v>0</v>
      </c>
    </row>
    <row r="60" spans="2:35" x14ac:dyDescent="0.2">
      <c r="B60" s="26" t="s">
        <v>141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>
        <f>+AC64*0.11</f>
        <v>0</v>
      </c>
      <c r="AD60" s="14">
        <f>+AD64*0.11</f>
        <v>0</v>
      </c>
      <c r="AE60" s="14">
        <f>+AE64*0.1</f>
        <v>0</v>
      </c>
      <c r="AF60" s="14">
        <f>+AF64*0.1</f>
        <v>0</v>
      </c>
      <c r="AG60" s="14">
        <f>+AG64*0.11</f>
        <v>0</v>
      </c>
      <c r="AH60" s="14">
        <f>+AH64*0.1</f>
        <v>0</v>
      </c>
    </row>
    <row r="61" spans="2:35" x14ac:dyDescent="0.2">
      <c r="B61" s="27" t="s">
        <v>142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>
        <f>+AC64*0.39</f>
        <v>0</v>
      </c>
      <c r="AD61" s="5">
        <f>+AD64*0.41</f>
        <v>0</v>
      </c>
      <c r="AE61" s="5">
        <f>+AE64*0.39</f>
        <v>0</v>
      </c>
      <c r="AF61" s="5">
        <f t="shared" ref="AF61:AG61" si="20">SUM(AF58:AF60)</f>
        <v>0</v>
      </c>
      <c r="AG61" s="5">
        <f t="shared" si="20"/>
        <v>0</v>
      </c>
      <c r="AH61" s="5">
        <f>SUM(AH58:AH60)</f>
        <v>0</v>
      </c>
    </row>
    <row r="62" spans="2:35" x14ac:dyDescent="0.2">
      <c r="B62" s="25" t="s">
        <v>143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1"/>
      <c r="S62" s="8"/>
      <c r="T62" s="8"/>
      <c r="U62" s="8"/>
      <c r="V62" s="8"/>
      <c r="W62" s="8"/>
      <c r="X62" s="8"/>
      <c r="Y62" s="8"/>
      <c r="Z62" s="8"/>
      <c r="AA62" s="8"/>
      <c r="AB62" s="8"/>
      <c r="AC62" s="8">
        <f t="shared" ref="AC62:AH62" si="21">+AC61/AC8</f>
        <v>0</v>
      </c>
      <c r="AD62" s="8">
        <f t="shared" si="21"/>
        <v>0</v>
      </c>
      <c r="AE62" s="8">
        <f t="shared" si="21"/>
        <v>0</v>
      </c>
      <c r="AF62" s="8">
        <f t="shared" si="21"/>
        <v>0</v>
      </c>
      <c r="AG62" s="8">
        <f t="shared" si="21"/>
        <v>0</v>
      </c>
      <c r="AH62" s="8">
        <f t="shared" si="21"/>
        <v>0</v>
      </c>
    </row>
  </sheetData>
  <hyperlinks>
    <hyperlink ref="A1" location="Main!A1" display="Main!A1" xr:uid="{074E5054-1270-41A4-AD54-76A6DAE3C1CB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CBCA-0AFA-46FA-9BB0-48F4E553E1AE}">
  <dimension ref="A1:M9"/>
  <sheetViews>
    <sheetView workbookViewId="0">
      <selection activeCell="H25" sqref="H25"/>
    </sheetView>
  </sheetViews>
  <sheetFormatPr defaultRowHeight="12.75" x14ac:dyDescent="0.2"/>
  <cols>
    <col min="1" max="1" width="3.7109375" customWidth="1"/>
    <col min="2" max="2" width="9.28515625" style="1" customWidth="1"/>
    <col min="3" max="3" width="8.7109375" style="1" customWidth="1"/>
    <col min="4" max="16384" width="9.140625" style="1"/>
  </cols>
  <sheetData>
    <row r="1" spans="1:13" s="48" customFormat="1" ht="12.75" customHeight="1" x14ac:dyDescent="0.2">
      <c r="A1" s="45" t="s">
        <v>196</v>
      </c>
      <c r="B1" s="49"/>
      <c r="C1" s="49"/>
    </row>
    <row r="2" spans="1:13" customFormat="1" x14ac:dyDescent="0.2">
      <c r="A2" s="2"/>
      <c r="B2" s="1"/>
      <c r="C2" s="1"/>
    </row>
    <row r="3" spans="1:13" customFormat="1" x14ac:dyDescent="0.2">
      <c r="B3" s="6"/>
      <c r="C3" s="16">
        <v>2014</v>
      </c>
      <c r="D3" s="16">
        <v>2015</v>
      </c>
      <c r="E3">
        <v>2016</v>
      </c>
      <c r="F3">
        <f>+E3+1</f>
        <v>2017</v>
      </c>
      <c r="G3">
        <f t="shared" ref="G3:M3" si="0">+F3+1</f>
        <v>2018</v>
      </c>
      <c r="H3">
        <f t="shared" si="0"/>
        <v>2019</v>
      </c>
      <c r="I3">
        <f t="shared" si="0"/>
        <v>2020</v>
      </c>
      <c r="J3">
        <f t="shared" si="0"/>
        <v>2021</v>
      </c>
      <c r="K3">
        <f t="shared" si="0"/>
        <v>2022</v>
      </c>
      <c r="L3">
        <f t="shared" si="0"/>
        <v>2023</v>
      </c>
      <c r="M3">
        <f t="shared" si="0"/>
        <v>2024</v>
      </c>
    </row>
    <row r="4" spans="1:13" x14ac:dyDescent="0.2">
      <c r="B4" t="s">
        <v>132</v>
      </c>
      <c r="C4" s="1">
        <v>11197</v>
      </c>
      <c r="D4" s="1">
        <v>11679</v>
      </c>
      <c r="E4" s="1">
        <v>13977</v>
      </c>
      <c r="F4" s="1">
        <v>14796</v>
      </c>
      <c r="G4" s="1">
        <v>18824</v>
      </c>
      <c r="H4" s="1">
        <v>20026</v>
      </c>
      <c r="I4" s="1">
        <v>20257</v>
      </c>
      <c r="J4" s="1">
        <v>22961</v>
      </c>
      <c r="K4" s="1">
        <v>17125</v>
      </c>
      <c r="L4" s="1">
        <v>14854</v>
      </c>
    </row>
    <row r="5" spans="1:13" x14ac:dyDescent="0.2">
      <c r="B5" t="s">
        <v>133</v>
      </c>
      <c r="C5" s="1">
        <v>9828</v>
      </c>
      <c r="D5" s="1">
        <v>11544</v>
      </c>
      <c r="E5" s="1">
        <v>12780</v>
      </c>
      <c r="F5" s="1">
        <v>14285</v>
      </c>
      <c r="G5" s="1">
        <v>15409</v>
      </c>
      <c r="H5" s="1">
        <v>15650</v>
      </c>
      <c r="I5" s="1">
        <v>17845</v>
      </c>
      <c r="J5" s="1">
        <v>18096</v>
      </c>
      <c r="K5" s="1">
        <v>9664</v>
      </c>
      <c r="L5" s="1">
        <v>8602</v>
      </c>
    </row>
    <row r="6" spans="1:13" x14ac:dyDescent="0.2">
      <c r="B6" t="s">
        <v>134</v>
      </c>
      <c r="C6" s="1">
        <v>11573</v>
      </c>
      <c r="D6" s="1">
        <v>11121</v>
      </c>
      <c r="E6" s="1">
        <v>12957</v>
      </c>
      <c r="F6" s="1">
        <v>12543</v>
      </c>
      <c r="G6" s="1">
        <v>14303</v>
      </c>
      <c r="H6" s="1">
        <v>15617</v>
      </c>
      <c r="I6" s="1">
        <v>16573</v>
      </c>
      <c r="J6" s="1">
        <v>14322</v>
      </c>
      <c r="K6" s="1">
        <v>16529</v>
      </c>
      <c r="L6" s="1">
        <v>13958</v>
      </c>
    </row>
    <row r="7" spans="1:13" x14ac:dyDescent="0.2">
      <c r="B7" t="s">
        <v>135</v>
      </c>
      <c r="C7" s="1">
        <v>8955</v>
      </c>
      <c r="D7" s="1">
        <v>10661</v>
      </c>
      <c r="E7" s="1">
        <v>9953</v>
      </c>
      <c r="F7" s="1">
        <v>10518</v>
      </c>
      <c r="G7" s="1">
        <v>10646</v>
      </c>
      <c r="H7" s="1">
        <v>10058</v>
      </c>
      <c r="I7" s="1">
        <v>11605</v>
      </c>
      <c r="J7" s="1">
        <v>11418</v>
      </c>
      <c r="K7" s="1">
        <v>8287</v>
      </c>
      <c r="L7" s="1">
        <v>6867</v>
      </c>
    </row>
    <row r="8" spans="1:13" x14ac:dyDescent="0.2">
      <c r="B8" t="s">
        <v>136</v>
      </c>
      <c r="C8" s="1">
        <v>14317</v>
      </c>
      <c r="D8" s="1">
        <v>10350</v>
      </c>
      <c r="E8" s="1">
        <v>9720</v>
      </c>
      <c r="F8" s="1">
        <v>10619</v>
      </c>
      <c r="G8" s="1">
        <v>11666</v>
      </c>
      <c r="H8" s="1">
        <v>10614</v>
      </c>
      <c r="I8" s="1">
        <v>11587</v>
      </c>
      <c r="J8" s="1">
        <v>12227</v>
      </c>
      <c r="K8" s="1">
        <v>11449</v>
      </c>
      <c r="L8" s="1">
        <v>9947</v>
      </c>
    </row>
    <row r="9" spans="1:13" s="5" customFormat="1" x14ac:dyDescent="0.2">
      <c r="B9" s="4" t="s">
        <v>137</v>
      </c>
      <c r="C9" s="5">
        <f>SUM(C4:C8)</f>
        <v>55870</v>
      </c>
      <c r="D9" s="5">
        <f>SUM(D4:D8)</f>
        <v>55355</v>
      </c>
      <c r="E9" s="5">
        <f>SUM(E4:E8)</f>
        <v>59387</v>
      </c>
      <c r="F9" s="5">
        <f t="shared" ref="F9:J9" si="1">SUM(F4:F8)</f>
        <v>62761</v>
      </c>
      <c r="G9" s="5">
        <f t="shared" si="1"/>
        <v>70848</v>
      </c>
      <c r="H9" s="5">
        <f t="shared" si="1"/>
        <v>71965</v>
      </c>
      <c r="I9" s="5">
        <f t="shared" si="1"/>
        <v>77867</v>
      </c>
      <c r="J9" s="5">
        <f t="shared" si="1"/>
        <v>79024</v>
      </c>
      <c r="K9" s="5">
        <f t="shared" ref="K9" si="2">SUM(K4:K8)</f>
        <v>63054</v>
      </c>
      <c r="L9" s="5">
        <f t="shared" ref="L9" si="3">SUM(L4:L8)</f>
        <v>54228</v>
      </c>
    </row>
  </sheetData>
  <hyperlinks>
    <hyperlink ref="A1" location="Main!A1" display="Main!A1" xr:uid="{31D3611A-60B3-4F4D-8D1A-2CCC18603F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F3FD-4299-481C-9540-F25D696E70D0}">
  <dimension ref="A1:F23"/>
  <sheetViews>
    <sheetView workbookViewId="0">
      <selection activeCell="B1" sqref="A1:XFD1"/>
    </sheetView>
  </sheetViews>
  <sheetFormatPr defaultRowHeight="12.75" x14ac:dyDescent="0.2"/>
  <cols>
    <col min="1" max="1" width="4.28515625" customWidth="1"/>
    <col min="2" max="2" width="46.5703125" bestFit="1" customWidth="1"/>
  </cols>
  <sheetData>
    <row r="1" spans="1:6" s="48" customFormat="1" ht="12.75" customHeight="1" x14ac:dyDescent="0.2">
      <c r="A1" s="45" t="s">
        <v>196</v>
      </c>
      <c r="B1" s="46"/>
    </row>
    <row r="2" spans="1:6" x14ac:dyDescent="0.2">
      <c r="A2" s="2"/>
      <c r="B2" s="2"/>
    </row>
    <row r="3" spans="1:6" x14ac:dyDescent="0.2">
      <c r="A3" s="6"/>
      <c r="C3" s="7">
        <v>2020</v>
      </c>
      <c r="D3">
        <v>2021</v>
      </c>
      <c r="E3">
        <v>2022</v>
      </c>
      <c r="F3">
        <v>2023</v>
      </c>
    </row>
    <row r="4" spans="1:6" x14ac:dyDescent="0.2">
      <c r="B4" s="17" t="s">
        <v>79</v>
      </c>
      <c r="C4" s="17"/>
    </row>
    <row r="5" spans="1:6" s="4" customFormat="1" x14ac:dyDescent="0.2">
      <c r="B5" s="4" t="s">
        <v>24</v>
      </c>
      <c r="C5" s="5">
        <f>+Model!AD23</f>
        <v>23876</v>
      </c>
      <c r="D5" s="5">
        <f>+Model!AE23</f>
        <v>22082</v>
      </c>
      <c r="E5" s="5">
        <f>+Model!AF23</f>
        <v>2336</v>
      </c>
      <c r="F5" s="5">
        <f>+Model!AG23</f>
        <v>31</v>
      </c>
    </row>
    <row r="6" spans="1:6" x14ac:dyDescent="0.2">
      <c r="B6" s="18" t="s">
        <v>80</v>
      </c>
      <c r="C6" s="23">
        <v>-147</v>
      </c>
      <c r="D6" s="1">
        <v>-29</v>
      </c>
      <c r="E6" s="1">
        <v>1073</v>
      </c>
      <c r="F6" s="1">
        <v>172</v>
      </c>
    </row>
    <row r="7" spans="1:6" s="4" customFormat="1" x14ac:dyDescent="0.2">
      <c r="B7" s="4" t="s">
        <v>81</v>
      </c>
      <c r="C7" s="5">
        <f t="shared" ref="C7:E7" si="0">+C5+C6</f>
        <v>23729</v>
      </c>
      <c r="D7" s="5">
        <f t="shared" si="0"/>
        <v>22053</v>
      </c>
      <c r="E7" s="5">
        <f t="shared" si="0"/>
        <v>3409</v>
      </c>
      <c r="F7" s="5">
        <f>+F5+F6</f>
        <v>203</v>
      </c>
    </row>
    <row r="8" spans="1:6" x14ac:dyDescent="0.2">
      <c r="B8" t="s">
        <v>94</v>
      </c>
      <c r="C8" s="1">
        <v>416</v>
      </c>
      <c r="D8" s="1">
        <v>798</v>
      </c>
      <c r="E8" s="1">
        <v>729</v>
      </c>
      <c r="F8" s="1">
        <v>407</v>
      </c>
    </row>
    <row r="9" spans="1:6" s="21" customFormat="1" x14ac:dyDescent="0.2">
      <c r="B9" s="21" t="s">
        <v>95</v>
      </c>
      <c r="C9" s="21">
        <v>2.5000000000000001E-2</v>
      </c>
      <c r="D9" s="21">
        <v>2.5000000000000001E-2</v>
      </c>
      <c r="E9" s="21">
        <v>4.2999999999999997E-2</v>
      </c>
      <c r="F9" s="21">
        <v>0.05</v>
      </c>
    </row>
    <row r="10" spans="1:6" s="20" customFormat="1" x14ac:dyDescent="0.2">
      <c r="B10" s="19" t="s">
        <v>82</v>
      </c>
      <c r="C10" s="1">
        <f t="shared" ref="C10:E10" si="1">+C8*C9</f>
        <v>10.4</v>
      </c>
      <c r="D10" s="1">
        <f t="shared" si="1"/>
        <v>19.950000000000003</v>
      </c>
      <c r="E10" s="1">
        <f t="shared" si="1"/>
        <v>31.346999999999998</v>
      </c>
      <c r="F10" s="1">
        <f>+F8*F9</f>
        <v>20.350000000000001</v>
      </c>
    </row>
    <row r="11" spans="1:6" x14ac:dyDescent="0.2">
      <c r="B11" s="18" t="s">
        <v>93</v>
      </c>
      <c r="C11" s="1">
        <f>+C7*0.17</f>
        <v>4033.9300000000003</v>
      </c>
      <c r="D11" s="1">
        <f>+D7*0.17</f>
        <v>3749.01</v>
      </c>
      <c r="E11" s="1">
        <f t="shared" ref="E11:F11" si="2">+E7*0.17</f>
        <v>579.53000000000009</v>
      </c>
      <c r="F11" s="1">
        <f t="shared" si="2"/>
        <v>34.510000000000005</v>
      </c>
    </row>
    <row r="12" spans="1:6" s="4" customFormat="1" x14ac:dyDescent="0.2">
      <c r="B12" s="4" t="s">
        <v>83</v>
      </c>
      <c r="C12" s="5">
        <f t="shared" ref="C12:E12" si="3">+C7+C10-C11</f>
        <v>19705.47</v>
      </c>
      <c r="D12" s="5">
        <f t="shared" si="3"/>
        <v>18323.940000000002</v>
      </c>
      <c r="E12" s="5">
        <f t="shared" si="3"/>
        <v>2860.817</v>
      </c>
      <c r="F12" s="5">
        <f>+F7+F10-F11</f>
        <v>188.83999999999997</v>
      </c>
    </row>
    <row r="13" spans="1:6" x14ac:dyDescent="0.2">
      <c r="C13" s="1"/>
      <c r="D13" s="1"/>
      <c r="E13" s="1"/>
      <c r="F13" s="1"/>
    </row>
    <row r="14" spans="1:6" x14ac:dyDescent="0.2">
      <c r="B14" s="17" t="s">
        <v>84</v>
      </c>
      <c r="C14" s="22"/>
      <c r="D14" s="1"/>
      <c r="E14" s="1"/>
      <c r="F14" s="1"/>
    </row>
    <row r="15" spans="1:6" x14ac:dyDescent="0.2">
      <c r="B15" t="s">
        <v>85</v>
      </c>
      <c r="C15">
        <v>2504</v>
      </c>
      <c r="D15">
        <v>4591</v>
      </c>
      <c r="E15">
        <v>4367</v>
      </c>
      <c r="F15">
        <v>2288</v>
      </c>
    </row>
    <row r="16" spans="1:6" x14ac:dyDescent="0.2">
      <c r="B16" s="18" t="s">
        <v>86</v>
      </c>
      <c r="C16" s="1">
        <v>33897</v>
      </c>
      <c r="D16" s="1">
        <v>33510</v>
      </c>
      <c r="E16" s="1">
        <v>37684</v>
      </c>
      <c r="F16" s="1">
        <v>46978</v>
      </c>
    </row>
    <row r="17" spans="2:6" x14ac:dyDescent="0.2">
      <c r="B17" s="18" t="s">
        <v>87</v>
      </c>
      <c r="C17" s="23">
        <v>81038</v>
      </c>
      <c r="D17" s="1">
        <v>95391</v>
      </c>
      <c r="E17" s="1">
        <v>103286</v>
      </c>
      <c r="F17" s="1">
        <v>109965</v>
      </c>
    </row>
    <row r="18" spans="2:6" x14ac:dyDescent="0.2">
      <c r="B18" s="18" t="s">
        <v>88</v>
      </c>
      <c r="C18" s="23"/>
      <c r="D18" s="1"/>
      <c r="E18" s="1"/>
      <c r="F18" s="1"/>
    </row>
    <row r="19" spans="2:6" x14ac:dyDescent="0.2">
      <c r="B19" s="18" t="s">
        <v>89</v>
      </c>
      <c r="C19" s="23"/>
      <c r="D19" s="1"/>
      <c r="E19" s="1"/>
      <c r="F19" s="1"/>
    </row>
    <row r="20" spans="2:6" x14ac:dyDescent="0.2">
      <c r="B20" t="s">
        <v>90</v>
      </c>
      <c r="C20" s="1"/>
      <c r="D20" s="1"/>
      <c r="E20" s="1"/>
      <c r="F20" s="1"/>
    </row>
    <row r="21" spans="2:6" x14ac:dyDescent="0.2">
      <c r="B21" s="4" t="s">
        <v>91</v>
      </c>
      <c r="C21" s="5"/>
      <c r="D21" s="1"/>
      <c r="E21" s="1"/>
      <c r="F21" s="1"/>
    </row>
    <row r="22" spans="2:6" x14ac:dyDescent="0.2">
      <c r="C22" s="1"/>
      <c r="D22" s="1"/>
      <c r="E22" s="1"/>
      <c r="F22" s="1"/>
    </row>
    <row r="23" spans="2:6" x14ac:dyDescent="0.2">
      <c r="B23" s="4" t="s">
        <v>92</v>
      </c>
      <c r="C23" s="4"/>
    </row>
  </sheetData>
  <hyperlinks>
    <hyperlink ref="A1" location="Main!A1" display="Main!A1" xr:uid="{FE2EBD89-B79D-4BAF-B728-6D3E7DB6FA5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AD08-8940-4C3E-9A45-B9087F143090}">
  <dimension ref="A1:B5"/>
  <sheetViews>
    <sheetView workbookViewId="0">
      <selection activeCell="E20" sqref="E20"/>
    </sheetView>
  </sheetViews>
  <sheetFormatPr defaultRowHeight="12.75" x14ac:dyDescent="0.2"/>
  <cols>
    <col min="1" max="1" width="4.5703125" customWidth="1"/>
  </cols>
  <sheetData>
    <row r="1" spans="1:2" x14ac:dyDescent="0.2">
      <c r="A1" s="44" t="s">
        <v>196</v>
      </c>
    </row>
    <row r="3" spans="1:2" x14ac:dyDescent="0.2">
      <c r="B3" t="s">
        <v>173</v>
      </c>
    </row>
    <row r="4" spans="1:2" x14ac:dyDescent="0.2">
      <c r="B4" t="s">
        <v>174</v>
      </c>
    </row>
    <row r="5" spans="1:2" x14ac:dyDescent="0.2">
      <c r="B5" t="s">
        <v>175</v>
      </c>
    </row>
  </sheetData>
  <hyperlinks>
    <hyperlink ref="A1" location="Main!A1" display="Main!A1" xr:uid="{A244496D-4589-4652-80C3-77E7AC2460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Segment</vt:lpstr>
      <vt:lpstr>Geographic</vt:lpstr>
      <vt:lpstr>ROIC</vt:lpstr>
      <vt:lpstr>Intel Core Ultra 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2024-04-04T07:53:15Z</dcterms:created>
  <dcterms:modified xsi:type="dcterms:W3CDTF">2025-02-02T17:26:35Z</dcterms:modified>
</cp:coreProperties>
</file>