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Food Major Diversified\"/>
    </mc:Choice>
  </mc:AlternateContent>
  <xr:revisionPtr revIDLastSave="0" documentId="13_ncr:1_{5EB637F8-6F95-4460-B723-C4F376FD8724}" xr6:coauthVersionLast="47" xr6:coauthVersionMax="47" xr10:uidLastSave="{00000000-0000-0000-0000-000000000000}"/>
  <bookViews>
    <workbookView xWindow="31575" yWindow="210" windowWidth="13950" windowHeight="15300" activeTab="1" xr2:uid="{223AA770-F71A-461D-8667-BA3179387967}"/>
  </bookViews>
  <sheets>
    <sheet name="Main" sheetId="1" r:id="rId1"/>
    <sheet name="Model" sheetId="2" r:id="rId2"/>
    <sheet name="Bran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AC22" i="2"/>
  <c r="AF6" i="2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E6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G4" i="2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F4" i="2"/>
  <c r="AE4" i="2"/>
  <c r="AE3" i="2"/>
  <c r="AD10" i="2"/>
  <c r="AD6" i="2"/>
  <c r="AD4" i="2"/>
  <c r="Q19" i="2"/>
  <c r="Q18" i="2"/>
  <c r="Q17" i="2"/>
  <c r="Q16" i="2"/>
  <c r="Q15" i="2"/>
  <c r="Q12" i="2"/>
  <c r="Q11" i="2"/>
  <c r="Q10" i="2"/>
  <c r="Q9" i="2"/>
  <c r="Q8" i="2"/>
  <c r="Q7" i="2"/>
  <c r="Q6" i="2"/>
  <c r="Q21" i="2"/>
  <c r="Q4" i="2"/>
  <c r="Q5" i="2"/>
  <c r="AB16" i="2"/>
  <c r="AA16" i="2"/>
  <c r="Z16" i="2"/>
  <c r="Y16" i="2"/>
  <c r="X16" i="2"/>
  <c r="W16" i="2"/>
  <c r="V16" i="2"/>
  <c r="U16" i="2"/>
  <c r="T16" i="2"/>
  <c r="AC16" i="2"/>
  <c r="O16" i="2"/>
  <c r="N16" i="2"/>
  <c r="L16" i="2"/>
  <c r="K16" i="2"/>
  <c r="J16" i="2"/>
  <c r="H16" i="2"/>
  <c r="G16" i="2"/>
  <c r="F16" i="2"/>
  <c r="D16" i="2"/>
  <c r="C16" i="2"/>
  <c r="B16" i="2"/>
  <c r="P16" i="2"/>
  <c r="L8" i="1"/>
  <c r="AW22" i="2" l="1"/>
  <c r="AW19" i="2"/>
  <c r="F8" i="2"/>
  <c r="G8" i="2"/>
  <c r="H8" i="2"/>
  <c r="J8" i="2"/>
  <c r="K8" i="2"/>
  <c r="L8" i="2"/>
  <c r="N8" i="2"/>
  <c r="O8" i="2"/>
  <c r="P8" i="2"/>
  <c r="T8" i="2"/>
  <c r="U8" i="2"/>
  <c r="V8" i="2"/>
  <c r="W8" i="2"/>
  <c r="X8" i="2"/>
  <c r="Y8" i="2"/>
  <c r="Z8" i="2"/>
  <c r="AB8" i="2"/>
  <c r="I8" i="2" s="1"/>
  <c r="AC8" i="2"/>
  <c r="AA8" i="2"/>
  <c r="E8" i="2" s="1"/>
  <c r="D8" i="2"/>
  <c r="C8" i="2"/>
  <c r="B8" i="2"/>
  <c r="M8" i="2" l="1"/>
  <c r="T86" i="2"/>
  <c r="V21" i="2"/>
  <c r="T5" i="2"/>
  <c r="T15" i="2" s="1"/>
  <c r="U21" i="2"/>
  <c r="U5" i="2"/>
  <c r="U7" i="2" s="1"/>
  <c r="U9" i="2" s="1"/>
  <c r="V5" i="2"/>
  <c r="V7" i="2" s="1"/>
  <c r="V9" i="2" s="1"/>
  <c r="U86" i="2"/>
  <c r="V86" i="2"/>
  <c r="W86" i="2"/>
  <c r="X86" i="2"/>
  <c r="Y86" i="2"/>
  <c r="Z86" i="2"/>
  <c r="O52" i="2"/>
  <c r="P52" i="2" s="1"/>
  <c r="W21" i="2"/>
  <c r="W5" i="2"/>
  <c r="W15" i="2" s="1"/>
  <c r="AB86" i="2"/>
  <c r="AA86" i="2"/>
  <c r="AC86" i="2"/>
  <c r="AD13" i="2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D3" i="2"/>
  <c r="Q3" i="2" s="1"/>
  <c r="AD86" i="2" l="1"/>
  <c r="AE86" i="2" s="1"/>
  <c r="AF86" i="2" s="1"/>
  <c r="AG86" i="2" s="1"/>
  <c r="AH86" i="2" s="1"/>
  <c r="AI86" i="2" s="1"/>
  <c r="AJ86" i="2" s="1"/>
  <c r="AK86" i="2" s="1"/>
  <c r="AL86" i="2" s="1"/>
  <c r="AM86" i="2" s="1"/>
  <c r="AN86" i="2" s="1"/>
  <c r="AO86" i="2" s="1"/>
  <c r="AP86" i="2" s="1"/>
  <c r="AQ86" i="2" s="1"/>
  <c r="AR86" i="2" s="1"/>
  <c r="AS86" i="2" s="1"/>
  <c r="AT86" i="2" s="1"/>
  <c r="R86" i="2"/>
  <c r="V15" i="2"/>
  <c r="V17" i="2"/>
  <c r="T7" i="2"/>
  <c r="T9" i="2" s="1"/>
  <c r="U17" i="2"/>
  <c r="U15" i="2"/>
  <c r="W7" i="2"/>
  <c r="AD21" i="2"/>
  <c r="AD5" i="2"/>
  <c r="N69" i="2"/>
  <c r="N86" i="2" s="1"/>
  <c r="N68" i="2"/>
  <c r="O83" i="2"/>
  <c r="P83" i="2" s="1"/>
  <c r="O80" i="2"/>
  <c r="P80" i="2" s="1"/>
  <c r="O79" i="2"/>
  <c r="P79" i="2" s="1"/>
  <c r="O78" i="2"/>
  <c r="P78" i="2" s="1"/>
  <c r="O73" i="2"/>
  <c r="P73" i="2" s="1"/>
  <c r="O74" i="2"/>
  <c r="P74" i="2" s="1"/>
  <c r="O72" i="2"/>
  <c r="P72" i="2" s="1"/>
  <c r="O71" i="2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59" i="2"/>
  <c r="P59" i="2" s="1"/>
  <c r="O60" i="2"/>
  <c r="P60" i="2" s="1"/>
  <c r="O61" i="2"/>
  <c r="P61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P34" i="2"/>
  <c r="P23" i="2" s="1"/>
  <c r="P31" i="2"/>
  <c r="P33" i="2" s="1"/>
  <c r="O34" i="2"/>
  <c r="O43" i="2" s="1"/>
  <c r="O46" i="2" s="1"/>
  <c r="O31" i="2"/>
  <c r="O33" i="2" s="1"/>
  <c r="D11" i="1"/>
  <c r="D10" i="1"/>
  <c r="D9" i="1"/>
  <c r="D8" i="1"/>
  <c r="D7" i="1"/>
  <c r="D6" i="1"/>
  <c r="D5" i="1"/>
  <c r="D4" i="1"/>
  <c r="D3" i="1"/>
  <c r="C12" i="1"/>
  <c r="N77" i="2"/>
  <c r="N81" i="2" s="1"/>
  <c r="N75" i="2"/>
  <c r="N34" i="2"/>
  <c r="N23" i="2" s="1"/>
  <c r="N31" i="2"/>
  <c r="N33" i="2" s="1"/>
  <c r="M34" i="2"/>
  <c r="M43" i="2" s="1"/>
  <c r="M46" i="2" s="1"/>
  <c r="M31" i="2"/>
  <c r="M33" i="2" s="1"/>
  <c r="E10" i="2"/>
  <c r="E6" i="2"/>
  <c r="E4" i="2"/>
  <c r="E3" i="2"/>
  <c r="E21" i="2" s="1"/>
  <c r="I10" i="2"/>
  <c r="I6" i="2"/>
  <c r="I4" i="2"/>
  <c r="I3" i="2"/>
  <c r="M10" i="2"/>
  <c r="M6" i="2"/>
  <c r="M4" i="2"/>
  <c r="M3" i="2"/>
  <c r="X21" i="2"/>
  <c r="X5" i="2"/>
  <c r="X7" i="2" s="1"/>
  <c r="X9" i="2" s="1"/>
  <c r="Y21" i="2"/>
  <c r="Y5" i="2"/>
  <c r="Y7" i="2" s="1"/>
  <c r="Y9" i="2" s="1"/>
  <c r="Z21" i="2"/>
  <c r="Z5" i="2"/>
  <c r="Z7" i="2" s="1"/>
  <c r="Z9" i="2" s="1"/>
  <c r="AA21" i="2"/>
  <c r="AA5" i="2"/>
  <c r="AA7" i="2" s="1"/>
  <c r="AA9" i="2" s="1"/>
  <c r="AB21" i="2"/>
  <c r="AB5" i="2"/>
  <c r="AB7" i="2" s="1"/>
  <c r="AB9" i="2" s="1"/>
  <c r="AC21" i="2"/>
  <c r="AC5" i="2"/>
  <c r="AC7" i="2" s="1"/>
  <c r="AC9" i="2" s="1"/>
  <c r="B21" i="2"/>
  <c r="B5" i="2"/>
  <c r="B7" i="2" s="1"/>
  <c r="B9" i="2" s="1"/>
  <c r="F21" i="2"/>
  <c r="F5" i="2"/>
  <c r="F7" i="2" s="1"/>
  <c r="F9" i="2" s="1"/>
  <c r="C21" i="2"/>
  <c r="C5" i="2"/>
  <c r="C7" i="2" s="1"/>
  <c r="C9" i="2" s="1"/>
  <c r="G21" i="2"/>
  <c r="G5" i="2"/>
  <c r="G15" i="2" s="1"/>
  <c r="D21" i="2"/>
  <c r="D5" i="2"/>
  <c r="D15" i="2" s="1"/>
  <c r="H21" i="2"/>
  <c r="H5" i="2"/>
  <c r="H7" i="2" s="1"/>
  <c r="H9" i="2" s="1"/>
  <c r="J21" i="2"/>
  <c r="J5" i="2"/>
  <c r="J7" i="2" s="1"/>
  <c r="J9" i="2" s="1"/>
  <c r="N21" i="2"/>
  <c r="N5" i="2"/>
  <c r="N15" i="2" s="1"/>
  <c r="K21" i="2"/>
  <c r="K5" i="2"/>
  <c r="K7" i="2" s="1"/>
  <c r="K9" i="2" s="1"/>
  <c r="O21" i="2"/>
  <c r="O5" i="2"/>
  <c r="O15" i="2" s="1"/>
  <c r="L21" i="2"/>
  <c r="L5" i="2"/>
  <c r="L15" i="2" s="1"/>
  <c r="P21" i="2"/>
  <c r="P5" i="2"/>
  <c r="P15" i="2" s="1"/>
  <c r="L7" i="1"/>
  <c r="L5" i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M16" i="2" l="1"/>
  <c r="I16" i="2"/>
  <c r="E16" i="2"/>
  <c r="W17" i="2"/>
  <c r="W9" i="2"/>
  <c r="W19" i="2" s="1"/>
  <c r="P69" i="2"/>
  <c r="O68" i="2"/>
  <c r="V11" i="2"/>
  <c r="V19" i="2"/>
  <c r="O75" i="2"/>
  <c r="T17" i="2"/>
  <c r="U19" i="2"/>
  <c r="U11" i="2"/>
  <c r="P43" i="2"/>
  <c r="P46" i="2" s="1"/>
  <c r="AC23" i="2"/>
  <c r="O77" i="2"/>
  <c r="P71" i="2"/>
  <c r="P75" i="2" s="1"/>
  <c r="AD15" i="2"/>
  <c r="AD7" i="2"/>
  <c r="AF3" i="2"/>
  <c r="AE5" i="2"/>
  <c r="AE21" i="2"/>
  <c r="P68" i="2"/>
  <c r="O69" i="2"/>
  <c r="M21" i="2"/>
  <c r="N43" i="2"/>
  <c r="N46" i="2" s="1"/>
  <c r="E5" i="2"/>
  <c r="E15" i="2" s="1"/>
  <c r="I5" i="2"/>
  <c r="I15" i="2" s="1"/>
  <c r="I7" i="2"/>
  <c r="I9" i="2" s="1"/>
  <c r="N84" i="2"/>
  <c r="P7" i="2"/>
  <c r="P9" i="2" s="1"/>
  <c r="M23" i="2"/>
  <c r="M5" i="2"/>
  <c r="I21" i="2"/>
  <c r="O23" i="2"/>
  <c r="X17" i="2"/>
  <c r="X15" i="2"/>
  <c r="Y11" i="2"/>
  <c r="Y12" i="2" s="1"/>
  <c r="Y15" i="2"/>
  <c r="Y17" i="2"/>
  <c r="Z17" i="2"/>
  <c r="Z15" i="2"/>
  <c r="AA17" i="2"/>
  <c r="AA15" i="2"/>
  <c r="AB17" i="2"/>
  <c r="AB15" i="2"/>
  <c r="AC17" i="2"/>
  <c r="AC15" i="2"/>
  <c r="B17" i="2"/>
  <c r="B15" i="2"/>
  <c r="F17" i="2"/>
  <c r="F15" i="2"/>
  <c r="C17" i="2"/>
  <c r="C15" i="2"/>
  <c r="G7" i="2"/>
  <c r="G9" i="2" s="1"/>
  <c r="D7" i="2"/>
  <c r="D9" i="2" s="1"/>
  <c r="H17" i="2"/>
  <c r="H15" i="2"/>
  <c r="J17" i="2"/>
  <c r="J15" i="2"/>
  <c r="N7" i="2"/>
  <c r="N9" i="2" s="1"/>
  <c r="K17" i="2"/>
  <c r="K15" i="2"/>
  <c r="O7" i="2"/>
  <c r="O9" i="2" s="1"/>
  <c r="L7" i="2"/>
  <c r="L9" i="2" s="1"/>
  <c r="AD9" i="2" l="1"/>
  <c r="AD19" i="2" s="1"/>
  <c r="AD23" i="2"/>
  <c r="N11" i="2"/>
  <c r="W11" i="2"/>
  <c r="W18" i="2" s="1"/>
  <c r="V12" i="2"/>
  <c r="V18" i="2"/>
  <c r="P86" i="2"/>
  <c r="Q86" i="2" s="1"/>
  <c r="T19" i="2"/>
  <c r="T11" i="2"/>
  <c r="U18" i="2"/>
  <c r="U12" i="2"/>
  <c r="AD17" i="2"/>
  <c r="O81" i="2"/>
  <c r="P77" i="2"/>
  <c r="P81" i="2" s="1"/>
  <c r="P84" i="2" s="1"/>
  <c r="AE15" i="2"/>
  <c r="AE7" i="2"/>
  <c r="AE9" i="2" s="1"/>
  <c r="AG3" i="2"/>
  <c r="AF5" i="2"/>
  <c r="AF21" i="2"/>
  <c r="O84" i="2"/>
  <c r="O86" i="2"/>
  <c r="Y19" i="2"/>
  <c r="E7" i="2"/>
  <c r="E9" i="2" s="1"/>
  <c r="I17" i="2"/>
  <c r="M7" i="2"/>
  <c r="M9" i="2" s="1"/>
  <c r="M15" i="2"/>
  <c r="P17" i="2"/>
  <c r="X19" i="2"/>
  <c r="X11" i="2"/>
  <c r="Y18" i="2"/>
  <c r="Z19" i="2"/>
  <c r="Z11" i="2"/>
  <c r="AA19" i="2"/>
  <c r="AA11" i="2"/>
  <c r="AB19" i="2"/>
  <c r="AB11" i="2"/>
  <c r="AC19" i="2"/>
  <c r="AC11" i="2"/>
  <c r="B19" i="2"/>
  <c r="B11" i="2"/>
  <c r="F19" i="2"/>
  <c r="F11" i="2"/>
  <c r="F12" i="2" s="1"/>
  <c r="C19" i="2"/>
  <c r="C11" i="2"/>
  <c r="G17" i="2"/>
  <c r="D17" i="2"/>
  <c r="H19" i="2"/>
  <c r="H11" i="2"/>
  <c r="J19" i="2"/>
  <c r="J11" i="2"/>
  <c r="N17" i="2"/>
  <c r="N19" i="2"/>
  <c r="K19" i="2"/>
  <c r="K11" i="2"/>
  <c r="O17" i="2"/>
  <c r="L17" i="2"/>
  <c r="AE10" i="2" l="1"/>
  <c r="AE11" i="2" s="1"/>
  <c r="W12" i="2"/>
  <c r="AE23" i="2"/>
  <c r="N51" i="2"/>
  <c r="N12" i="2"/>
  <c r="N18" i="2"/>
  <c r="T18" i="2"/>
  <c r="T12" i="2"/>
  <c r="AF15" i="2"/>
  <c r="AF7" i="2"/>
  <c r="AE17" i="2"/>
  <c r="AH3" i="2"/>
  <c r="AG5" i="2"/>
  <c r="AG21" i="2"/>
  <c r="E17" i="2"/>
  <c r="M17" i="2"/>
  <c r="P11" i="2"/>
  <c r="P51" i="2" s="1"/>
  <c r="P19" i="2"/>
  <c r="I11" i="2"/>
  <c r="I19" i="2"/>
  <c r="X18" i="2"/>
  <c r="X12" i="2"/>
  <c r="Z18" i="2"/>
  <c r="Z12" i="2"/>
  <c r="AA12" i="2"/>
  <c r="AA18" i="2"/>
  <c r="AB18" i="2"/>
  <c r="AB12" i="2"/>
  <c r="AC18" i="2"/>
  <c r="AC12" i="2"/>
  <c r="B18" i="2"/>
  <c r="B12" i="2"/>
  <c r="F18" i="2"/>
  <c r="C18" i="2"/>
  <c r="C12" i="2"/>
  <c r="G19" i="2"/>
  <c r="G11" i="2"/>
  <c r="D19" i="2"/>
  <c r="D11" i="2"/>
  <c r="H12" i="2"/>
  <c r="H18" i="2"/>
  <c r="J18" i="2"/>
  <c r="J12" i="2"/>
  <c r="K18" i="2"/>
  <c r="K12" i="2"/>
  <c r="O19" i="2"/>
  <c r="O11" i="2"/>
  <c r="O51" i="2" s="1"/>
  <c r="L19" i="2"/>
  <c r="L11" i="2"/>
  <c r="AF23" i="2" l="1"/>
  <c r="AF9" i="2"/>
  <c r="AF10" i="2" s="1"/>
  <c r="AD11" i="2"/>
  <c r="AG15" i="2"/>
  <c r="AG7" i="2"/>
  <c r="AI3" i="2"/>
  <c r="AH5" i="2"/>
  <c r="AH21" i="2"/>
  <c r="AF17" i="2"/>
  <c r="AE19" i="2"/>
  <c r="E11" i="2"/>
  <c r="E19" i="2"/>
  <c r="P18" i="2"/>
  <c r="P12" i="2"/>
  <c r="I18" i="2"/>
  <c r="I12" i="2"/>
  <c r="M11" i="2"/>
  <c r="M19" i="2"/>
  <c r="G18" i="2"/>
  <c r="G12" i="2"/>
  <c r="D18" i="2"/>
  <c r="D12" i="2"/>
  <c r="O12" i="2"/>
  <c r="O18" i="2"/>
  <c r="L18" i="2"/>
  <c r="L12" i="2"/>
  <c r="O48" i="2" l="1"/>
  <c r="O49" i="2" s="1"/>
  <c r="AG23" i="2"/>
  <c r="AG9" i="2"/>
  <c r="AG10" i="2" s="1"/>
  <c r="M48" i="2"/>
  <c r="M49" i="2" s="1"/>
  <c r="AF19" i="2"/>
  <c r="AH7" i="2"/>
  <c r="AH15" i="2"/>
  <c r="AJ3" i="2"/>
  <c r="AI5" i="2"/>
  <c r="AI21" i="2"/>
  <c r="AG17" i="2"/>
  <c r="AD18" i="2"/>
  <c r="AD12" i="2"/>
  <c r="N48" i="2"/>
  <c r="N49" i="2" s="1"/>
  <c r="P48" i="2"/>
  <c r="P49" i="2" s="1"/>
  <c r="E18" i="2"/>
  <c r="E12" i="2"/>
  <c r="M12" i="2"/>
  <c r="M18" i="2"/>
  <c r="L10" i="1" l="1"/>
  <c r="L11" i="1"/>
  <c r="AH23" i="2"/>
  <c r="AH9" i="2"/>
  <c r="AH10" i="2" s="1"/>
  <c r="AG19" i="2"/>
  <c r="AI7" i="2"/>
  <c r="AI15" i="2"/>
  <c r="AF11" i="2"/>
  <c r="AK3" i="2"/>
  <c r="AJ21" i="2"/>
  <c r="AJ5" i="2"/>
  <c r="AH17" i="2"/>
  <c r="AE12" i="2"/>
  <c r="AE18" i="2"/>
  <c r="AI23" i="2" l="1"/>
  <c r="AI9" i="2"/>
  <c r="AI10" i="2" s="1"/>
  <c r="AH19" i="2"/>
  <c r="AJ7" i="2"/>
  <c r="AJ15" i="2"/>
  <c r="AL3" i="2"/>
  <c r="AK21" i="2"/>
  <c r="AK5" i="2"/>
  <c r="AF18" i="2"/>
  <c r="AF12" i="2"/>
  <c r="AI17" i="2"/>
  <c r="AG11" i="2"/>
  <c r="AJ23" i="2" l="1"/>
  <c r="AJ9" i="2"/>
  <c r="AJ10" i="2" s="1"/>
  <c r="AH11" i="2"/>
  <c r="AH18" i="2" s="1"/>
  <c r="AK7" i="2"/>
  <c r="AK15" i="2"/>
  <c r="AI19" i="2"/>
  <c r="AM3" i="2"/>
  <c r="AL21" i="2"/>
  <c r="AL5" i="2"/>
  <c r="AJ17" i="2"/>
  <c r="AG18" i="2"/>
  <c r="AG12" i="2"/>
  <c r="AK23" i="2" l="1"/>
  <c r="AK9" i="2"/>
  <c r="AK10" i="2" s="1"/>
  <c r="AH12" i="2"/>
  <c r="AI11" i="2"/>
  <c r="AI18" i="2" s="1"/>
  <c r="AK17" i="2"/>
  <c r="AJ19" i="2"/>
  <c r="AL7" i="2"/>
  <c r="AL15" i="2"/>
  <c r="AN3" i="2"/>
  <c r="AM5" i="2"/>
  <c r="AM21" i="2"/>
  <c r="AL23" i="2" l="1"/>
  <c r="AL9" i="2"/>
  <c r="AL10" i="2" s="1"/>
  <c r="AJ11" i="2"/>
  <c r="AJ12" i="2" s="1"/>
  <c r="AI12" i="2"/>
  <c r="AM7" i="2"/>
  <c r="AM15" i="2"/>
  <c r="AL17" i="2"/>
  <c r="AK19" i="2"/>
  <c r="AO3" i="2"/>
  <c r="AN21" i="2"/>
  <c r="AN5" i="2"/>
  <c r="AM23" i="2" l="1"/>
  <c r="AM9" i="2"/>
  <c r="AM10" i="2" s="1"/>
  <c r="AK11" i="2"/>
  <c r="AJ18" i="2"/>
  <c r="AM17" i="2"/>
  <c r="AN7" i="2"/>
  <c r="AN15" i="2"/>
  <c r="AP3" i="2"/>
  <c r="AO5" i="2"/>
  <c r="AO21" i="2"/>
  <c r="AK12" i="2"/>
  <c r="AK18" i="2"/>
  <c r="AL19" i="2"/>
  <c r="AN23" i="2" l="1"/>
  <c r="AN9" i="2"/>
  <c r="AN10" i="2" s="1"/>
  <c r="AL11" i="2"/>
  <c r="AL12" i="2" s="1"/>
  <c r="AO7" i="2"/>
  <c r="AO15" i="2"/>
  <c r="AQ3" i="2"/>
  <c r="AP5" i="2"/>
  <c r="AP21" i="2"/>
  <c r="AN17" i="2"/>
  <c r="AM19" i="2"/>
  <c r="AO23" i="2" l="1"/>
  <c r="AO9" i="2"/>
  <c r="AO10" i="2" s="1"/>
  <c r="AL18" i="2"/>
  <c r="AM11" i="2"/>
  <c r="AN19" i="2"/>
  <c r="AP15" i="2"/>
  <c r="AP7" i="2"/>
  <c r="AR3" i="2"/>
  <c r="AQ5" i="2"/>
  <c r="AQ21" i="2"/>
  <c r="AO17" i="2"/>
  <c r="AP23" i="2" l="1"/>
  <c r="AP9" i="2"/>
  <c r="AP10" i="2" s="1"/>
  <c r="AO19" i="2"/>
  <c r="AQ7" i="2"/>
  <c r="AQ15" i="2"/>
  <c r="AS3" i="2"/>
  <c r="AR5" i="2"/>
  <c r="AR21" i="2"/>
  <c r="AP17" i="2"/>
  <c r="AN11" i="2"/>
  <c r="AM18" i="2"/>
  <c r="AM12" i="2"/>
  <c r="AQ23" i="2" l="1"/>
  <c r="AQ9" i="2"/>
  <c r="AQ10" i="2" s="1"/>
  <c r="AO11" i="2"/>
  <c r="AO12" i="2" s="1"/>
  <c r="AP19" i="2"/>
  <c r="AN12" i="2"/>
  <c r="AN18" i="2"/>
  <c r="AR15" i="2"/>
  <c r="AR7" i="2"/>
  <c r="AT3" i="2"/>
  <c r="AS5" i="2"/>
  <c r="AS21" i="2"/>
  <c r="AQ17" i="2"/>
  <c r="AR23" i="2" l="1"/>
  <c r="AR9" i="2"/>
  <c r="AR10" i="2" s="1"/>
  <c r="AO18" i="2"/>
  <c r="AT5" i="2"/>
  <c r="AT21" i="2"/>
  <c r="AQ19" i="2"/>
  <c r="AS15" i="2"/>
  <c r="AS7" i="2"/>
  <c r="AR17" i="2"/>
  <c r="AP11" i="2"/>
  <c r="AS23" i="2" l="1"/>
  <c r="AS9" i="2"/>
  <c r="AS10" i="2" s="1"/>
  <c r="AP18" i="2"/>
  <c r="AP12" i="2"/>
  <c r="AR19" i="2"/>
  <c r="AS17" i="2"/>
  <c r="AQ11" i="2"/>
  <c r="AT7" i="2"/>
  <c r="AT15" i="2"/>
  <c r="AT23" i="2" l="1"/>
  <c r="AT9" i="2"/>
  <c r="AT10" i="2" s="1"/>
  <c r="AT17" i="2"/>
  <c r="AQ18" i="2"/>
  <c r="AQ12" i="2"/>
  <c r="AS19" i="2"/>
  <c r="AR11" i="2"/>
  <c r="AR18" i="2" l="1"/>
  <c r="AR12" i="2"/>
  <c r="AS11" i="2"/>
  <c r="AT19" i="2"/>
  <c r="AT11" i="2" l="1"/>
  <c r="AS18" i="2"/>
  <c r="AS12" i="2"/>
  <c r="AU11" i="2" l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EF11" i="2" s="1"/>
  <c r="EG11" i="2" s="1"/>
  <c r="EH11" i="2" s="1"/>
  <c r="EI11" i="2" s="1"/>
  <c r="EJ11" i="2" s="1"/>
  <c r="EK11" i="2" s="1"/>
  <c r="EL11" i="2" s="1"/>
  <c r="EM11" i="2" s="1"/>
  <c r="EN11" i="2" s="1"/>
  <c r="EO11" i="2" s="1"/>
  <c r="EP11" i="2" s="1"/>
  <c r="EQ11" i="2" s="1"/>
  <c r="AW18" i="2" s="1"/>
  <c r="AW20" i="2" s="1"/>
  <c r="AW21" i="2" s="1"/>
  <c r="AW23" i="2" s="1"/>
  <c r="AT12" i="2"/>
  <c r="AT18" i="2"/>
</calcChain>
</file>

<file path=xl/sharedStrings.xml><?xml version="1.0" encoding="utf-8"?>
<sst xmlns="http://schemas.openxmlformats.org/spreadsheetml/2006/main" count="285" uniqueCount="264">
  <si>
    <t>Revenue</t>
  </si>
  <si>
    <t>COGS</t>
  </si>
  <si>
    <t>Gross profit</t>
  </si>
  <si>
    <t>SG&amp;A</t>
  </si>
  <si>
    <t>Operating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</si>
  <si>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</si>
  <si>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</si>
  <si>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</si>
  <si>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</si>
  <si>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</si>
  <si>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</si>
  <si>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</si>
  <si>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</si>
  <si>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</si>
  <si>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</si>
  <si>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</si>
  <si>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</si>
  <si>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</si>
  <si>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</si>
  <si>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</si>
  <si>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</si>
  <si>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</si>
  <si>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</si>
  <si>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</si>
  <si>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</si>
  <si>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</si>
  <si>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</si>
  <si>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</si>
  <si>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</si>
  <si>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</si>
  <si>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</si>
  <si>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</si>
  <si>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</si>
  <si>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</si>
  <si>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</si>
  <si>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</si>
  <si>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Net cash</t>
  </si>
  <si>
    <t>A/R</t>
  </si>
  <si>
    <t>Inventories</t>
  </si>
  <si>
    <t>Prepaid</t>
  </si>
  <si>
    <t>OCA</t>
  </si>
  <si>
    <t>Assets for sale</t>
  </si>
  <si>
    <t>PP&amp;E</t>
  </si>
  <si>
    <t>Goodwill</t>
  </si>
  <si>
    <t>Other</t>
  </si>
  <si>
    <t>Assets</t>
  </si>
  <si>
    <t>A/P</t>
  </si>
  <si>
    <t>OCL</t>
  </si>
  <si>
    <t>D/T</t>
  </si>
  <si>
    <t>D/R</t>
  </si>
  <si>
    <t>Liabilties</t>
  </si>
  <si>
    <t>S/E</t>
  </si>
  <si>
    <t>L+S/E</t>
  </si>
  <si>
    <t>Accrued expenses</t>
  </si>
  <si>
    <t>Interest payable</t>
  </si>
  <si>
    <t>Postemployment</t>
  </si>
  <si>
    <t>ONCL</t>
  </si>
  <si>
    <t>ONCA</t>
  </si>
  <si>
    <t>NI TTM</t>
  </si>
  <si>
    <t>Tangible return</t>
  </si>
  <si>
    <t>Model NI</t>
  </si>
  <si>
    <t>Reported NI</t>
  </si>
  <si>
    <t>D&amp;A</t>
  </si>
  <si>
    <t>Divestiture income</t>
  </si>
  <si>
    <t>SBC</t>
  </si>
  <si>
    <t>Benefit plan adjust</t>
  </si>
  <si>
    <t>Benefit plan contribution</t>
  </si>
  <si>
    <t>FX</t>
  </si>
  <si>
    <t>Sale</t>
  </si>
  <si>
    <t>Inventory</t>
  </si>
  <si>
    <t>Other assets</t>
  </si>
  <si>
    <t>Other liabilties</t>
  </si>
  <si>
    <t>CFFO</t>
  </si>
  <si>
    <t>CapEx</t>
  </si>
  <si>
    <t>Asset sale proceeds</t>
  </si>
  <si>
    <t>CFFI</t>
  </si>
  <si>
    <t>Dividends</t>
  </si>
  <si>
    <t>Buybacks</t>
  </si>
  <si>
    <t>CFFF</t>
  </si>
  <si>
    <t>CIC</t>
  </si>
  <si>
    <t>FCF</t>
  </si>
  <si>
    <t>FCF TTM</t>
  </si>
  <si>
    <t>Products</t>
  </si>
  <si>
    <t>Taste Elevation</t>
  </si>
  <si>
    <t>Easy Ready Meals</t>
  </si>
  <si>
    <t>Substantial Snacking</t>
  </si>
  <si>
    <t>Desserts</t>
  </si>
  <si>
    <t>Hydration</t>
  </si>
  <si>
    <t>Cheese</t>
  </si>
  <si>
    <t>Coffee</t>
  </si>
  <si>
    <t>Meats</t>
  </si>
  <si>
    <t>%</t>
  </si>
  <si>
    <t>Total</t>
  </si>
  <si>
    <t>Net Sales</t>
  </si>
  <si>
    <t>Orlando</t>
  </si>
  <si>
    <t>Honig</t>
  </si>
  <si>
    <t>Plasmon</t>
  </si>
  <si>
    <t>Velveeta</t>
  </si>
  <si>
    <t>Grey Poupon</t>
  </si>
  <si>
    <t>Ore-Ida</t>
  </si>
  <si>
    <t>Classico</t>
  </si>
  <si>
    <t>Capri Sun</t>
  </si>
  <si>
    <t>Jell-O</t>
  </si>
  <si>
    <t>Philadelphia</t>
  </si>
  <si>
    <t>Golden Circle</t>
  </si>
  <si>
    <t>Lunchables</t>
  </si>
  <si>
    <t>Pudliszki</t>
  </si>
  <si>
    <t>Maxwell House</t>
  </si>
  <si>
    <t>Quero</t>
  </si>
  <si>
    <t>Australia</t>
  </si>
  <si>
    <t>Heinz Australia</t>
  </si>
  <si>
    <t>Greenseas</t>
  </si>
  <si>
    <t>Heinz at Home</t>
  </si>
  <si>
    <t>Heinz for Baby</t>
  </si>
  <si>
    <t>Original Juice Co.</t>
  </si>
  <si>
    <t>Belgium</t>
  </si>
  <si>
    <t>Heinz Belgium</t>
  </si>
  <si>
    <t>Brazil</t>
  </si>
  <si>
    <t>Heinz Brazil</t>
  </si>
  <si>
    <t>Canada</t>
  </si>
  <si>
    <t>Heinz Baby</t>
  </si>
  <si>
    <t>Kraft Heinz Canada</t>
  </si>
  <si>
    <t>   Foodservice</t>
  </si>
  <si>
    <t>China</t>
  </si>
  <si>
    <t>Heinz Hong Kong</t>
  </si>
  <si>
    <t>Kraft Heinz China</t>
  </si>
  <si>
    <t>Czech Republic</t>
  </si>
  <si>
    <t>Heinz Czech Republic</t>
  </si>
  <si>
    <t>Denmark</t>
  </si>
  <si>
    <t>Heinz Denmark</t>
  </si>
  <si>
    <t>Finland</t>
  </si>
  <si>
    <t>Heinz Finland</t>
  </si>
  <si>
    <t>France</t>
  </si>
  <si>
    <t>Bénédicta</t>
  </si>
  <si>
    <t>Heinz France</t>
  </si>
  <si>
    <t>Germany</t>
  </si>
  <si>
    <t>Bull’s-Eye</t>
  </si>
  <si>
    <t>Heinz Germany</t>
  </si>
  <si>
    <t>Ireland</t>
  </si>
  <si>
    <t>Heinz Ireland</t>
  </si>
  <si>
    <t>India</t>
  </si>
  <si>
    <t>Heinz India</t>
  </si>
  <si>
    <t>Indonesia</t>
  </si>
  <si>
    <t>Heinz ABC</t>
  </si>
  <si>
    <t>Italy</t>
  </si>
  <si>
    <t>Aproten</t>
  </si>
  <si>
    <t>Biaglut</t>
  </si>
  <si>
    <t>Cuore di Natura</t>
  </si>
  <si>
    <t>Heinz Italy</t>
  </si>
  <si>
    <t>Kraft Italy</t>
  </si>
  <si>
    <t>Nipiol</t>
  </si>
  <si>
    <t>Plasmon, Biscotto dei Grandi</t>
  </si>
  <si>
    <t>Japan</t>
  </si>
  <si>
    <t>Heinz Japan</t>
  </si>
  <si>
    <t>Heinz Japan Foodservice</t>
  </si>
  <si>
    <t>Heinz Ketchup</t>
  </si>
  <si>
    <t>Korea</t>
  </si>
  <si>
    <t>Kraft Heinz Korea</t>
  </si>
  <si>
    <t>Mexico</t>
  </si>
  <si>
    <t>Heinz Mexico</t>
  </si>
  <si>
    <t>Middle East</t>
  </si>
  <si>
    <t>Heinz Africa and Middle East</t>
  </si>
  <si>
    <t>Netherlands</t>
  </si>
  <si>
    <t>Amoy</t>
  </si>
  <si>
    <t>Brinta</t>
  </si>
  <si>
    <t>De Ruijter</t>
  </si>
  <si>
    <t>Heinz Netherlands</t>
  </si>
  <si>
    <t>Karvan Cévitam</t>
  </si>
  <si>
    <t>Roosvicee</t>
  </si>
  <si>
    <t>Venz</t>
  </si>
  <si>
    <t>Wijko</t>
  </si>
  <si>
    <t>New Zealand</t>
  </si>
  <si>
    <t>Cats Prefer Chef</t>
  </si>
  <si>
    <t>Food in a Minute</t>
  </si>
  <si>
    <t>Wattie's For Baby</t>
  </si>
  <si>
    <t>Good Taste Company</t>
  </si>
  <si>
    <t>Nurture Baby</t>
  </si>
  <si>
    <t>Nutri+Plus</t>
  </si>
  <si>
    <t>PurePet</t>
  </si>
  <si>
    <t xml:space="preserve">Wattie's </t>
  </si>
  <si>
    <t>Norway</t>
  </si>
  <si>
    <t>Heinz Norway</t>
  </si>
  <si>
    <t>Poland</t>
  </si>
  <si>
    <t>Heinz Poland Ketchup &amp; Sauces</t>
  </si>
  <si>
    <t>Republic of the Philippines</t>
  </si>
  <si>
    <t>Lea &amp; Perrins Kitchen </t>
  </si>
  <si>
    <t>Russia</t>
  </si>
  <si>
    <t>Heinz Russia</t>
  </si>
  <si>
    <t>Spain</t>
  </si>
  <si>
    <t>Heinz Spain</t>
  </si>
  <si>
    <t>Kraft Spain</t>
  </si>
  <si>
    <t>Sweden</t>
  </si>
  <si>
    <t>Heinz Sweden</t>
  </si>
  <si>
    <t>United Kingdom</t>
  </si>
  <si>
    <t>Heinz UK</t>
  </si>
  <si>
    <t>Daddies</t>
  </si>
  <si>
    <t>Heinz Baby Food</t>
  </si>
  <si>
    <t>Heinz Salad Cream</t>
  </si>
  <si>
    <t>Heinz Soup</t>
  </si>
  <si>
    <t>HP Sauce</t>
  </si>
  <si>
    <t>United States</t>
  </si>
  <si>
    <t>A.1.</t>
  </si>
  <si>
    <t>Back to Nature Meals</t>
  </si>
  <si>
    <t>Bagel Bites</t>
  </si>
  <si>
    <t>Bakers Chocolate</t>
  </si>
  <si>
    <t>Benihana</t>
  </si>
  <si>
    <t>Claussen</t>
  </si>
  <si>
    <t>Cool Whip</t>
  </si>
  <si>
    <t>Country Time</t>
  </si>
  <si>
    <t>Crystal Light</t>
  </si>
  <si>
    <t>Delimex</t>
  </si>
  <si>
    <t>Gevalia</t>
  </si>
  <si>
    <t>Heinz 57 Sauce</t>
  </si>
  <si>
    <t>Heinz Chili Sauce</t>
  </si>
  <si>
    <t>Heinz Cocktail Sauce</t>
  </si>
  <si>
    <t>Heinz Gravy</t>
  </si>
  <si>
    <t>HeinzSeed</t>
  </si>
  <si>
    <t>Heinz Vinegar</t>
  </si>
  <si>
    <t>Jet-Puffed</t>
  </si>
  <si>
    <t>Just Crack an Egg</t>
  </si>
  <si>
    <t>Kool-Aid</t>
  </si>
  <si>
    <t>Kraft Barbeque Sauce</t>
  </si>
  <si>
    <t>Kraft Foodservice</t>
  </si>
  <si>
    <t>Kraft Heinz Ingredients</t>
  </si>
  <si>
    <t>Kraft Mac and Cheese</t>
  </si>
  <si>
    <t>Kraft Natural Cheese</t>
  </si>
  <si>
    <t>Kraft Salad Dressing</t>
  </si>
  <si>
    <t>Kraft Singles</t>
  </si>
  <si>
    <t>Lea &amp; Perrins</t>
  </si>
  <si>
    <t>Mio</t>
  </si>
  <si>
    <t>Miracle Whip</t>
  </si>
  <si>
    <t>Mr. Yoshida's</t>
  </si>
  <si>
    <t>My Heinz</t>
  </si>
  <si>
    <t>Nancy's</t>
  </si>
  <si>
    <t>Oscar Mayer</t>
  </si>
  <si>
    <t>Primal Kitchen</t>
  </si>
  <si>
    <t>Shake N Bake</t>
  </si>
  <si>
    <t>Stove Top</t>
  </si>
  <si>
    <t>Sure-Jell</t>
  </si>
  <si>
    <t>Taco Bell</t>
  </si>
  <si>
    <t>Tassimo</t>
  </si>
  <si>
    <t>TGI Fridays</t>
  </si>
  <si>
    <t>Smart Ones</t>
  </si>
  <si>
    <t>Wyler's</t>
  </si>
  <si>
    <t>Venezuela</t>
  </si>
  <si>
    <t>Heinz Venezuela</t>
  </si>
  <si>
    <t>Noncontrolling interest</t>
  </si>
  <si>
    <t>Impairment losses</t>
  </si>
  <si>
    <t>Intangible payment</t>
  </si>
  <si>
    <t>Working capital</t>
  </si>
  <si>
    <t>Term</t>
  </si>
  <si>
    <t>Dis</t>
  </si>
  <si>
    <t>NPV</t>
  </si>
  <si>
    <t>Value</t>
  </si>
  <si>
    <t>Current</t>
  </si>
  <si>
    <t>The Kraft Heinz Company</t>
  </si>
  <si>
    <t>(KHC)</t>
  </si>
  <si>
    <t>0% Growth</t>
  </si>
  <si>
    <t>Interest expense</t>
  </si>
  <si>
    <t>2015(16)</t>
  </si>
  <si>
    <t>ROIC</t>
  </si>
  <si>
    <t>SG&amp;A margin</t>
  </si>
  <si>
    <t>Yield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</si>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</sst>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3]d/mmm;@"/>
    <numFmt numFmtId="165" formatCode="0\x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3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0</xdr:row>
      <xdr:rowOff>9525</xdr:rowOff>
    </xdr:from>
    <xdr:to>
      <xdr:col>16</xdr:col>
      <xdr:colOff>28575</xdr:colOff>
      <xdr:row>90</xdr:row>
      <xdr:rowOff>76200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BA9CABA-5B82-E6CF-9123-CC946E25AFDF}"/>
            </a:ext>
          </a:extLst>
        </xdr:cNvPr>
        <xdr:cNvCxnSpPr/>
      </xdr:nvCxnSpPr>
      <xdr:spPr>
        <a:xfrm>
          <a:off x="10829925" y="9525"/>
          <a:ext cx="0" cy="14830425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19050</xdr:colOff>
      <xdr:row>0</xdr:row>
      <xdr:rowOff>0</xdr:rowOff>
    </xdr:from>
    <xdr:to>
      <xdr:col>29</xdr:col>
      <xdr:colOff>19050</xdr:colOff>
      <xdr:row>90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4E0D05E-8A2D-4182-9EF3-7034C1A16305}"/>
            </a:ext>
          </a:extLst>
        </xdr:cNvPr>
        <xdr:cNvCxnSpPr/>
      </xdr:nvCxnSpPr>
      <xdr:spPr>
        <a:xfrm>
          <a:off x="18135600" y="0"/>
          <a:ext cx="0" cy="14697075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51E56-0267-4724-92DA-9C0AE5A1C14E}">
  <dimension ref="B2:M33"/>
  <sheetViews>
    <sheetView topLeftCell="C1" workbookViewId="0">
      <selection activeCell="L9" sqref="L9"/>
    </sheetView>
  </sheetViews>
  <sheetFormatPr defaultRowHeight="12.75" x14ac:dyDescent="0.2"/>
  <cols>
    <col min="1" max="1" width="3.28515625" customWidth="1"/>
    <col min="2" max="2" width="18.85546875" bestFit="1" customWidth="1"/>
    <col min="3" max="3" width="9.5703125" bestFit="1" customWidth="1"/>
    <col min="6" max="6" width="12.140625" bestFit="1" customWidth="1"/>
    <col min="7" max="7" width="13.7109375" bestFit="1" customWidth="1"/>
    <col min="10" max="10" width="12.85546875" bestFit="1" customWidth="1"/>
    <col min="11" max="11" width="14.85546875" bestFit="1" customWidth="1"/>
  </cols>
  <sheetData>
    <row r="2" spans="2:13" x14ac:dyDescent="0.2">
      <c r="B2" s="10" t="s">
        <v>82</v>
      </c>
      <c r="C2" s="11" t="s">
        <v>93</v>
      </c>
      <c r="D2" s="12" t="s">
        <v>91</v>
      </c>
      <c r="F2" s="10"/>
    </row>
    <row r="3" spans="2:13" x14ac:dyDescent="0.2">
      <c r="B3" t="s">
        <v>83</v>
      </c>
      <c r="C3" s="1">
        <v>2825</v>
      </c>
      <c r="D3" s="3">
        <f>+C3/$C$12</f>
        <v>0.44258185806047312</v>
      </c>
      <c r="K3" t="s">
        <v>31</v>
      </c>
      <c r="L3">
        <v>29.27</v>
      </c>
    </row>
    <row r="4" spans="2:13" x14ac:dyDescent="0.2">
      <c r="B4" t="s">
        <v>84</v>
      </c>
      <c r="C4" s="1">
        <v>1171</v>
      </c>
      <c r="D4" s="3">
        <f t="shared" ref="D4:D11" si="0">+C4/$C$12</f>
        <v>0.18345605514648283</v>
      </c>
      <c r="K4" t="s">
        <v>9</v>
      </c>
      <c r="L4" s="1">
        <v>1209.174894</v>
      </c>
      <c r="M4" s="12" t="s">
        <v>29</v>
      </c>
    </row>
    <row r="5" spans="2:13" x14ac:dyDescent="0.2">
      <c r="B5" t="s">
        <v>85</v>
      </c>
      <c r="C5" s="1">
        <v>317</v>
      </c>
      <c r="D5" s="3">
        <f t="shared" si="0"/>
        <v>4.9663167789440701E-2</v>
      </c>
      <c r="K5" t="s">
        <v>32</v>
      </c>
      <c r="L5" s="1">
        <f>+L3*L4</f>
        <v>35392.549147379999</v>
      </c>
      <c r="M5" s="12"/>
    </row>
    <row r="6" spans="2:13" x14ac:dyDescent="0.2">
      <c r="B6" t="s">
        <v>86</v>
      </c>
      <c r="C6" s="1">
        <v>292</v>
      </c>
      <c r="D6" s="3">
        <f t="shared" si="0"/>
        <v>4.5746514178286075E-2</v>
      </c>
      <c r="K6" t="s">
        <v>33</v>
      </c>
      <c r="L6" s="1">
        <v>1284</v>
      </c>
      <c r="M6" s="12" t="s">
        <v>29</v>
      </c>
    </row>
    <row r="7" spans="2:13" x14ac:dyDescent="0.2">
      <c r="B7" t="s">
        <v>87</v>
      </c>
      <c r="C7" s="1">
        <v>539</v>
      </c>
      <c r="D7" s="3">
        <f t="shared" si="0"/>
        <v>8.4443051856493812E-2</v>
      </c>
      <c r="K7" t="s">
        <v>34</v>
      </c>
      <c r="L7" s="1">
        <f>13+695+19383</f>
        <v>20091</v>
      </c>
      <c r="M7" s="12" t="s">
        <v>29</v>
      </c>
    </row>
    <row r="8" spans="2:13" x14ac:dyDescent="0.2">
      <c r="B8" t="s">
        <v>88</v>
      </c>
      <c r="C8" s="1">
        <v>426</v>
      </c>
      <c r="D8" s="3">
        <f t="shared" si="0"/>
        <v>6.6739777534074882E-2</v>
      </c>
      <c r="K8" t="s">
        <v>35</v>
      </c>
      <c r="L8" s="1">
        <f>+L5-L6+L7</f>
        <v>54199.549147379999</v>
      </c>
    </row>
    <row r="9" spans="2:13" x14ac:dyDescent="0.2">
      <c r="B9" t="s">
        <v>89</v>
      </c>
      <c r="C9" s="1">
        <v>200</v>
      </c>
      <c r="D9" s="3">
        <f t="shared" si="0"/>
        <v>3.1333228889237036E-2</v>
      </c>
      <c r="L9" s="1">
        <f>+SUM(Model!N11:Q11)</f>
        <v>3903.25</v>
      </c>
    </row>
    <row r="10" spans="2:13" x14ac:dyDescent="0.2">
      <c r="B10" t="s">
        <v>90</v>
      </c>
      <c r="C10" s="1">
        <v>538</v>
      </c>
      <c r="D10" s="3">
        <f t="shared" si="0"/>
        <v>8.4286385712047621E-2</v>
      </c>
      <c r="L10" s="9">
        <f>+L8/L9</f>
        <v>13.885748836835971</v>
      </c>
    </row>
    <row r="11" spans="2:13" x14ac:dyDescent="0.2">
      <c r="B11" t="s">
        <v>44</v>
      </c>
      <c r="C11" s="1">
        <v>75</v>
      </c>
      <c r="D11" s="3">
        <f t="shared" si="0"/>
        <v>1.1749960833463888E-2</v>
      </c>
      <c r="K11" t="s">
        <v>262</v>
      </c>
      <c r="L11" s="3">
        <f>+L9/L8</f>
        <v>7.2016281710872543E-2</v>
      </c>
    </row>
    <row r="12" spans="2:13" x14ac:dyDescent="0.2">
      <c r="B12" s="10" t="s">
        <v>92</v>
      </c>
      <c r="C12" s="1">
        <f>+SUM(C3:C11)</f>
        <v>6383</v>
      </c>
      <c r="D12" s="3"/>
    </row>
    <row r="25" spans="2:11" x14ac:dyDescent="0.2">
      <c r="B25" s="1"/>
    </row>
    <row r="28" spans="2:11" x14ac:dyDescent="0.2">
      <c r="K28" s="1"/>
    </row>
    <row r="29" spans="2:11" x14ac:dyDescent="0.2">
      <c r="K29" s="1"/>
    </row>
    <row r="30" spans="2:11" x14ac:dyDescent="0.2">
      <c r="K30" s="1"/>
    </row>
    <row r="33" spans="11:11" x14ac:dyDescent="0.2">
      <c r="K3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23EA0-8613-41BD-AB8B-DE5ED7B76DCF}">
  <dimension ref="A1:EQ87"/>
  <sheetViews>
    <sheetView tabSelected="1" zoomScaleNormal="100" workbookViewId="0">
      <pane xSplit="1" ySplit="2" topLeftCell="AM3" activePane="bottomRight" state="frozen"/>
      <selection pane="topRight" activeCell="B1" sqref="B1"/>
      <selection pane="bottomLeft" activeCell="A3" sqref="A3"/>
      <selection pane="bottomRight" activeCell="AT24" sqref="AT24"/>
    </sheetView>
  </sheetViews>
  <sheetFormatPr defaultRowHeight="12.75" x14ac:dyDescent="0.2"/>
  <cols>
    <col min="1" max="1" width="24.85546875" style="1" customWidth="1"/>
    <col min="2" max="48" width="9.140625" style="1"/>
    <col min="49" max="49" width="9.7109375" style="1" bestFit="1" customWidth="1"/>
    <col min="50" max="16384" width="9.140625" style="1"/>
  </cols>
  <sheetData>
    <row r="1" spans="1:147" s="7" customFormat="1" ht="27.75" x14ac:dyDescent="0.4">
      <c r="A1" s="17" t="s">
        <v>255</v>
      </c>
      <c r="B1" s="7">
        <v>45743</v>
      </c>
      <c r="C1" s="7">
        <v>45834</v>
      </c>
      <c r="D1" s="7">
        <v>45925</v>
      </c>
      <c r="E1" s="7">
        <v>46016</v>
      </c>
      <c r="F1" s="7">
        <v>45742</v>
      </c>
      <c r="G1" s="7">
        <v>45833</v>
      </c>
      <c r="H1" s="7">
        <v>45924</v>
      </c>
      <c r="I1" s="7">
        <v>46022</v>
      </c>
      <c r="J1" s="7">
        <v>45748</v>
      </c>
      <c r="K1" s="8">
        <v>45839</v>
      </c>
      <c r="L1" s="7">
        <v>45928</v>
      </c>
      <c r="M1" s="7">
        <v>46021</v>
      </c>
      <c r="N1" s="7">
        <v>45746</v>
      </c>
      <c r="O1" s="8">
        <v>45837</v>
      </c>
      <c r="P1" s="7">
        <v>45928</v>
      </c>
      <c r="T1" s="7">
        <v>46019</v>
      </c>
      <c r="U1" s="7">
        <v>45660</v>
      </c>
      <c r="V1" s="7">
        <v>46022</v>
      </c>
      <c r="W1" s="7">
        <v>46021</v>
      </c>
      <c r="X1" s="7">
        <v>46020</v>
      </c>
      <c r="Y1" s="7">
        <v>46019</v>
      </c>
      <c r="Z1" s="7">
        <v>46017</v>
      </c>
      <c r="AA1" s="7">
        <v>46016</v>
      </c>
      <c r="AB1" s="7">
        <v>46022</v>
      </c>
      <c r="AC1" s="7">
        <v>46021</v>
      </c>
      <c r="AE1" s="17" t="s">
        <v>257</v>
      </c>
    </row>
    <row r="2" spans="1:147" x14ac:dyDescent="0.2">
      <c r="A2" s="2" t="s">
        <v>256</v>
      </c>
      <c r="B2" s="2" t="s">
        <v>15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16</v>
      </c>
      <c r="H2" s="2" t="s">
        <v>17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30</v>
      </c>
      <c r="R2" s="2"/>
      <c r="T2">
        <v>2014</v>
      </c>
      <c r="U2" s="12" t="s">
        <v>259</v>
      </c>
      <c r="V2">
        <v>2016</v>
      </c>
      <c r="W2">
        <f t="shared" ref="W2:AN2" si="0">+V2+1</f>
        <v>2017</v>
      </c>
      <c r="X2">
        <f t="shared" si="0"/>
        <v>2018</v>
      </c>
      <c r="Y2">
        <f t="shared" si="0"/>
        <v>2019</v>
      </c>
      <c r="Z2">
        <f t="shared" si="0"/>
        <v>2020</v>
      </c>
      <c r="AA2">
        <f t="shared" si="0"/>
        <v>2021</v>
      </c>
      <c r="AB2">
        <f t="shared" si="0"/>
        <v>2022</v>
      </c>
      <c r="AC2">
        <f t="shared" si="0"/>
        <v>2023</v>
      </c>
      <c r="AD2">
        <f t="shared" si="0"/>
        <v>2024</v>
      </c>
      <c r="AE2">
        <f t="shared" si="0"/>
        <v>2025</v>
      </c>
      <c r="AF2">
        <f t="shared" si="0"/>
        <v>2026</v>
      </c>
      <c r="AG2">
        <f t="shared" si="0"/>
        <v>2027</v>
      </c>
      <c r="AH2">
        <f t="shared" si="0"/>
        <v>2028</v>
      </c>
      <c r="AI2">
        <f t="shared" si="0"/>
        <v>2029</v>
      </c>
      <c r="AJ2">
        <f t="shared" si="0"/>
        <v>2030</v>
      </c>
      <c r="AK2">
        <f t="shared" si="0"/>
        <v>2031</v>
      </c>
      <c r="AL2">
        <f t="shared" si="0"/>
        <v>2032</v>
      </c>
      <c r="AM2">
        <f t="shared" si="0"/>
        <v>2033</v>
      </c>
      <c r="AN2">
        <f t="shared" si="0"/>
        <v>2034</v>
      </c>
      <c r="AO2">
        <f t="shared" ref="AO2" si="1">+AN2+1</f>
        <v>2035</v>
      </c>
      <c r="AP2">
        <f t="shared" ref="AP2" si="2">+AO2+1</f>
        <v>2036</v>
      </c>
      <c r="AQ2">
        <f t="shared" ref="AQ2" si="3">+AP2+1</f>
        <v>2037</v>
      </c>
      <c r="AR2">
        <f t="shared" ref="AR2" si="4">+AQ2+1</f>
        <v>2038</v>
      </c>
      <c r="AS2">
        <f t="shared" ref="AS2" si="5">+AR2+1</f>
        <v>2039</v>
      </c>
      <c r="AT2">
        <f t="shared" ref="AT2" si="6">+AS2+1</f>
        <v>2040</v>
      </c>
    </row>
    <row r="3" spans="1:147" s="6" customFormat="1" x14ac:dyDescent="0.2">
      <c r="A3" s="6" t="s">
        <v>0</v>
      </c>
      <c r="B3" s="6">
        <v>6394</v>
      </c>
      <c r="C3" s="6">
        <v>6615</v>
      </c>
      <c r="D3" s="6">
        <v>6324</v>
      </c>
      <c r="E3" s="6">
        <f>+AA3-SUM(B3:D3)</f>
        <v>6709</v>
      </c>
      <c r="F3" s="6">
        <v>6045</v>
      </c>
      <c r="G3" s="6">
        <v>6554</v>
      </c>
      <c r="H3" s="6">
        <v>6506</v>
      </c>
      <c r="I3" s="6">
        <f>+AB3-SUM(F3:H3)</f>
        <v>7380</v>
      </c>
      <c r="J3" s="6">
        <v>6489</v>
      </c>
      <c r="K3" s="6">
        <v>6721</v>
      </c>
      <c r="L3" s="6">
        <v>6570</v>
      </c>
      <c r="M3" s="6">
        <f>+AC3-SUM(J3:L3)</f>
        <v>6860</v>
      </c>
      <c r="N3" s="6">
        <v>6411</v>
      </c>
      <c r="O3" s="6">
        <v>6476</v>
      </c>
      <c r="P3" s="6">
        <v>6383</v>
      </c>
      <c r="Q3" s="6">
        <f>+AD3-SUM(N3:P3)</f>
        <v>6837.2000000000007</v>
      </c>
      <c r="R3" s="5"/>
      <c r="T3" s="6">
        <v>10922</v>
      </c>
      <c r="U3" s="6">
        <v>18338</v>
      </c>
      <c r="V3" s="6">
        <v>26487</v>
      </c>
      <c r="W3" s="6">
        <v>26232</v>
      </c>
      <c r="X3" s="6">
        <v>26268</v>
      </c>
      <c r="Y3" s="6">
        <v>24977</v>
      </c>
      <c r="Z3" s="6">
        <v>26185</v>
      </c>
      <c r="AA3" s="6">
        <v>26042</v>
      </c>
      <c r="AB3" s="6">
        <v>26485</v>
      </c>
      <c r="AC3" s="6">
        <v>26640</v>
      </c>
      <c r="AD3" s="6">
        <f>+AC3*0.98</f>
        <v>26107.200000000001</v>
      </c>
      <c r="AE3" s="6">
        <f>+AD3</f>
        <v>26107.200000000001</v>
      </c>
      <c r="AF3" s="6">
        <f t="shared" ref="AF3:AT4" si="7">+AE3</f>
        <v>26107.200000000001</v>
      </c>
      <c r="AG3" s="6">
        <f t="shared" si="7"/>
        <v>26107.200000000001</v>
      </c>
      <c r="AH3" s="6">
        <f t="shared" si="7"/>
        <v>26107.200000000001</v>
      </c>
      <c r="AI3" s="6">
        <f t="shared" si="7"/>
        <v>26107.200000000001</v>
      </c>
      <c r="AJ3" s="6">
        <f t="shared" si="7"/>
        <v>26107.200000000001</v>
      </c>
      <c r="AK3" s="6">
        <f t="shared" si="7"/>
        <v>26107.200000000001</v>
      </c>
      <c r="AL3" s="6">
        <f t="shared" si="7"/>
        <v>26107.200000000001</v>
      </c>
      <c r="AM3" s="6">
        <f t="shared" si="7"/>
        <v>26107.200000000001</v>
      </c>
      <c r="AN3" s="6">
        <f t="shared" si="7"/>
        <v>26107.200000000001</v>
      </c>
      <c r="AO3" s="6">
        <f t="shared" si="7"/>
        <v>26107.200000000001</v>
      </c>
      <c r="AP3" s="6">
        <f t="shared" si="7"/>
        <v>26107.200000000001</v>
      </c>
      <c r="AQ3" s="6">
        <f t="shared" si="7"/>
        <v>26107.200000000001</v>
      </c>
      <c r="AR3" s="6">
        <f t="shared" si="7"/>
        <v>26107.200000000001</v>
      </c>
      <c r="AS3" s="6">
        <f t="shared" si="7"/>
        <v>26107.200000000001</v>
      </c>
      <c r="AT3" s="6">
        <f t="shared" si="7"/>
        <v>26107.200000000001</v>
      </c>
    </row>
    <row r="4" spans="1:147" x14ac:dyDescent="0.2">
      <c r="A4" s="1" t="s">
        <v>1</v>
      </c>
      <c r="B4" s="1">
        <v>4193</v>
      </c>
      <c r="C4" s="1">
        <v>4324</v>
      </c>
      <c r="D4" s="1">
        <v>4296</v>
      </c>
      <c r="E4" s="1">
        <f>+AA4-SUM(B4:D4)</f>
        <v>4547</v>
      </c>
      <c r="F4" s="1">
        <v>4114</v>
      </c>
      <c r="G4" s="1">
        <v>4570</v>
      </c>
      <c r="H4" s="1">
        <v>4662</v>
      </c>
      <c r="I4" s="1">
        <f>+AB4-SUM(F4:H4)</f>
        <v>5017</v>
      </c>
      <c r="J4" s="1">
        <v>4376</v>
      </c>
      <c r="K4" s="1">
        <v>4460</v>
      </c>
      <c r="L4" s="1">
        <v>4335</v>
      </c>
      <c r="M4" s="1">
        <f>+AC4-SUM(J4:L4)</f>
        <v>4543</v>
      </c>
      <c r="N4" s="1">
        <v>4168</v>
      </c>
      <c r="O4" s="1">
        <v>4182</v>
      </c>
      <c r="P4" s="1">
        <v>4197</v>
      </c>
      <c r="Q4" s="1">
        <f>+Q3-Q5</f>
        <v>4444.18</v>
      </c>
      <c r="T4" s="1">
        <v>7645</v>
      </c>
      <c r="U4" s="1">
        <v>12577</v>
      </c>
      <c r="V4" s="1">
        <v>16901</v>
      </c>
      <c r="W4" s="1">
        <v>16529</v>
      </c>
      <c r="X4" s="1">
        <v>17347</v>
      </c>
      <c r="Y4" s="1">
        <v>16830</v>
      </c>
      <c r="Z4" s="1">
        <v>17008</v>
      </c>
      <c r="AA4" s="1">
        <v>17360</v>
      </c>
      <c r="AB4" s="1">
        <v>18363</v>
      </c>
      <c r="AC4" s="1">
        <v>17714</v>
      </c>
      <c r="AD4" s="1">
        <f>+SUM(N4:Q4)</f>
        <v>16991.18</v>
      </c>
      <c r="AE4" s="1">
        <f>+AD4</f>
        <v>16991.18</v>
      </c>
      <c r="AF4" s="1">
        <f t="shared" si="7"/>
        <v>16991.18</v>
      </c>
      <c r="AG4" s="1">
        <f t="shared" si="7"/>
        <v>16991.18</v>
      </c>
      <c r="AH4" s="1">
        <f t="shared" si="7"/>
        <v>16991.18</v>
      </c>
      <c r="AI4" s="1">
        <f t="shared" si="7"/>
        <v>16991.18</v>
      </c>
      <c r="AJ4" s="1">
        <f t="shared" si="7"/>
        <v>16991.18</v>
      </c>
      <c r="AK4" s="1">
        <f t="shared" si="7"/>
        <v>16991.18</v>
      </c>
      <c r="AL4" s="1">
        <f t="shared" si="7"/>
        <v>16991.18</v>
      </c>
      <c r="AM4" s="1">
        <f t="shared" si="7"/>
        <v>16991.18</v>
      </c>
      <c r="AN4" s="1">
        <f t="shared" si="7"/>
        <v>16991.18</v>
      </c>
      <c r="AO4" s="1">
        <f t="shared" si="7"/>
        <v>16991.18</v>
      </c>
      <c r="AP4" s="1">
        <f t="shared" si="7"/>
        <v>16991.18</v>
      </c>
      <c r="AQ4" s="1">
        <f t="shared" si="7"/>
        <v>16991.18</v>
      </c>
      <c r="AR4" s="1">
        <f t="shared" si="7"/>
        <v>16991.18</v>
      </c>
      <c r="AS4" s="1">
        <f t="shared" si="7"/>
        <v>16991.18</v>
      </c>
      <c r="AT4" s="1">
        <f t="shared" si="7"/>
        <v>16991.18</v>
      </c>
    </row>
    <row r="5" spans="1:147" x14ac:dyDescent="0.2">
      <c r="A5" s="1" t="s">
        <v>2</v>
      </c>
      <c r="B5" s="1">
        <f t="shared" ref="B5:P5" si="8">+B3-B4</f>
        <v>2201</v>
      </c>
      <c r="C5" s="1">
        <f t="shared" si="8"/>
        <v>2291</v>
      </c>
      <c r="D5" s="1">
        <f t="shared" si="8"/>
        <v>2028</v>
      </c>
      <c r="E5" s="1">
        <f t="shared" si="8"/>
        <v>2162</v>
      </c>
      <c r="F5" s="1">
        <f t="shared" si="8"/>
        <v>1931</v>
      </c>
      <c r="G5" s="1">
        <f t="shared" si="8"/>
        <v>1984</v>
      </c>
      <c r="H5" s="1">
        <f t="shared" si="8"/>
        <v>1844</v>
      </c>
      <c r="I5" s="1">
        <f t="shared" si="8"/>
        <v>2363</v>
      </c>
      <c r="J5" s="1">
        <f t="shared" si="8"/>
        <v>2113</v>
      </c>
      <c r="K5" s="1">
        <f t="shared" si="8"/>
        <v>2261</v>
      </c>
      <c r="L5" s="1">
        <f t="shared" si="8"/>
        <v>2235</v>
      </c>
      <c r="M5" s="1">
        <f t="shared" si="8"/>
        <v>2317</v>
      </c>
      <c r="N5" s="1">
        <f t="shared" si="8"/>
        <v>2243</v>
      </c>
      <c r="O5" s="1">
        <f t="shared" si="8"/>
        <v>2294</v>
      </c>
      <c r="P5" s="1">
        <f t="shared" si="8"/>
        <v>2186</v>
      </c>
      <c r="Q5" s="1">
        <f>+Q3*0.35</f>
        <v>2393.02</v>
      </c>
      <c r="T5" s="1">
        <f t="shared" ref="T5:U5" si="9">+T3-T4</f>
        <v>3277</v>
      </c>
      <c r="U5" s="1">
        <f t="shared" si="9"/>
        <v>5761</v>
      </c>
      <c r="V5" s="1">
        <f t="shared" ref="V5:W5" si="10">+V3-V4</f>
        <v>9586</v>
      </c>
      <c r="W5" s="1">
        <f t="shared" si="10"/>
        <v>9703</v>
      </c>
      <c r="X5" s="1">
        <f t="shared" ref="X5:AC5" si="11">+X3-X4</f>
        <v>8921</v>
      </c>
      <c r="Y5" s="1">
        <f t="shared" si="11"/>
        <v>8147</v>
      </c>
      <c r="Z5" s="1">
        <f t="shared" si="11"/>
        <v>9177</v>
      </c>
      <c r="AA5" s="1">
        <f t="shared" si="11"/>
        <v>8682</v>
      </c>
      <c r="AB5" s="1">
        <f t="shared" si="11"/>
        <v>8122</v>
      </c>
      <c r="AC5" s="1">
        <f t="shared" si="11"/>
        <v>8926</v>
      </c>
      <c r="AD5" s="1">
        <f t="shared" ref="AD5" si="12">+AD3-AD4</f>
        <v>9116.02</v>
      </c>
      <c r="AE5" s="1">
        <f t="shared" ref="AE5" si="13">+AE3-AE4</f>
        <v>9116.02</v>
      </c>
      <c r="AF5" s="1">
        <f t="shared" ref="AF5" si="14">+AF3-AF4</f>
        <v>9116.02</v>
      </c>
      <c r="AG5" s="1">
        <f t="shared" ref="AG5" si="15">+AG3-AG4</f>
        <v>9116.02</v>
      </c>
      <c r="AH5" s="1">
        <f t="shared" ref="AH5" si="16">+AH3-AH4</f>
        <v>9116.02</v>
      </c>
      <c r="AI5" s="1">
        <f t="shared" ref="AI5" si="17">+AI3-AI4</f>
        <v>9116.02</v>
      </c>
      <c r="AJ5" s="1">
        <f t="shared" ref="AJ5" si="18">+AJ3-AJ4</f>
        <v>9116.02</v>
      </c>
      <c r="AK5" s="1">
        <f t="shared" ref="AK5" si="19">+AK3-AK4</f>
        <v>9116.02</v>
      </c>
      <c r="AL5" s="1">
        <f t="shared" ref="AL5" si="20">+AL3-AL4</f>
        <v>9116.02</v>
      </c>
      <c r="AM5" s="1">
        <f t="shared" ref="AM5" si="21">+AM3-AM4</f>
        <v>9116.02</v>
      </c>
      <c r="AN5" s="1">
        <f t="shared" ref="AN5" si="22">+AN3-AN4</f>
        <v>9116.02</v>
      </c>
      <c r="AO5" s="1">
        <f t="shared" ref="AO5" si="23">+AO3-AO4</f>
        <v>9116.02</v>
      </c>
      <c r="AP5" s="1">
        <f t="shared" ref="AP5" si="24">+AP3-AP4</f>
        <v>9116.02</v>
      </c>
      <c r="AQ5" s="1">
        <f t="shared" ref="AQ5" si="25">+AQ3-AQ4</f>
        <v>9116.02</v>
      </c>
      <c r="AR5" s="1">
        <f t="shared" ref="AR5" si="26">+AR3-AR4</f>
        <v>9116.02</v>
      </c>
      <c r="AS5" s="1">
        <f t="shared" ref="AS5" si="27">+AS3-AS4</f>
        <v>9116.02</v>
      </c>
      <c r="AT5" s="1">
        <f t="shared" ref="AT5" si="28">+AT3-AT4</f>
        <v>9116.02</v>
      </c>
    </row>
    <row r="6" spans="1:147" x14ac:dyDescent="0.2">
      <c r="A6" s="1" t="s">
        <v>3</v>
      </c>
      <c r="B6" s="1">
        <v>882</v>
      </c>
      <c r="C6" s="1">
        <v>943</v>
      </c>
      <c r="D6" s="1">
        <v>872</v>
      </c>
      <c r="E6" s="1">
        <f>+AA6-SUM(B6:D6)</f>
        <v>891</v>
      </c>
      <c r="F6" s="1">
        <v>827</v>
      </c>
      <c r="G6" s="1">
        <v>812</v>
      </c>
      <c r="H6" s="1">
        <v>798</v>
      </c>
      <c r="I6" s="1">
        <f>+AB6-SUM(F6:H6)</f>
        <v>1138</v>
      </c>
      <c r="J6" s="1">
        <v>870</v>
      </c>
      <c r="K6" s="1">
        <v>885</v>
      </c>
      <c r="L6" s="1">
        <v>920</v>
      </c>
      <c r="M6" s="1">
        <f>+AC6-SUM(J6:L6)</f>
        <v>1017</v>
      </c>
      <c r="N6" s="1">
        <v>941</v>
      </c>
      <c r="O6" s="1">
        <v>918</v>
      </c>
      <c r="P6" s="1">
        <v>859</v>
      </c>
      <c r="Q6" s="1">
        <f>+P6*1.06</f>
        <v>910.54000000000008</v>
      </c>
      <c r="T6" s="1">
        <v>1709</v>
      </c>
      <c r="U6" s="1">
        <v>3122</v>
      </c>
      <c r="V6" s="1">
        <v>3444</v>
      </c>
      <c r="W6" s="1">
        <v>2930</v>
      </c>
      <c r="X6" s="1">
        <v>3190</v>
      </c>
      <c r="Y6" s="1">
        <v>3178</v>
      </c>
      <c r="Z6" s="1">
        <v>3650</v>
      </c>
      <c r="AA6" s="1">
        <v>3588</v>
      </c>
      <c r="AB6" s="1">
        <v>3575</v>
      </c>
      <c r="AC6" s="1">
        <v>3692</v>
      </c>
      <c r="AD6" s="1">
        <f>+SUM(N6:Q6)</f>
        <v>3628.54</v>
      </c>
      <c r="AE6" s="1">
        <f>+AD6*1</f>
        <v>3628.54</v>
      </c>
      <c r="AF6" s="1">
        <f t="shared" ref="AF6:AT6" si="29">+AE6*1</f>
        <v>3628.54</v>
      </c>
      <c r="AG6" s="1">
        <f t="shared" si="29"/>
        <v>3628.54</v>
      </c>
      <c r="AH6" s="1">
        <f t="shared" si="29"/>
        <v>3628.54</v>
      </c>
      <c r="AI6" s="1">
        <f t="shared" si="29"/>
        <v>3628.54</v>
      </c>
      <c r="AJ6" s="1">
        <f t="shared" si="29"/>
        <v>3628.54</v>
      </c>
      <c r="AK6" s="1">
        <f t="shared" si="29"/>
        <v>3628.54</v>
      </c>
      <c r="AL6" s="1">
        <f t="shared" si="29"/>
        <v>3628.54</v>
      </c>
      <c r="AM6" s="1">
        <f t="shared" si="29"/>
        <v>3628.54</v>
      </c>
      <c r="AN6" s="1">
        <f t="shared" si="29"/>
        <v>3628.54</v>
      </c>
      <c r="AO6" s="1">
        <f t="shared" si="29"/>
        <v>3628.54</v>
      </c>
      <c r="AP6" s="1">
        <f t="shared" si="29"/>
        <v>3628.54</v>
      </c>
      <c r="AQ6" s="1">
        <f t="shared" si="29"/>
        <v>3628.54</v>
      </c>
      <c r="AR6" s="1">
        <f t="shared" si="29"/>
        <v>3628.54</v>
      </c>
      <c r="AS6" s="1">
        <f t="shared" si="29"/>
        <v>3628.54</v>
      </c>
      <c r="AT6" s="1">
        <f t="shared" si="29"/>
        <v>3628.54</v>
      </c>
    </row>
    <row r="7" spans="1:147" x14ac:dyDescent="0.2">
      <c r="A7" s="1" t="s">
        <v>4</v>
      </c>
      <c r="B7" s="1">
        <f t="shared" ref="B7:Q7" si="30">+B5-B6</f>
        <v>1319</v>
      </c>
      <c r="C7" s="1">
        <f t="shared" si="30"/>
        <v>1348</v>
      </c>
      <c r="D7" s="1">
        <f t="shared" si="30"/>
        <v>1156</v>
      </c>
      <c r="E7" s="1">
        <f t="shared" si="30"/>
        <v>1271</v>
      </c>
      <c r="F7" s="1">
        <f t="shared" si="30"/>
        <v>1104</v>
      </c>
      <c r="G7" s="1">
        <f t="shared" si="30"/>
        <v>1172</v>
      </c>
      <c r="H7" s="1">
        <f t="shared" si="30"/>
        <v>1046</v>
      </c>
      <c r="I7" s="1">
        <f t="shared" si="30"/>
        <v>1225</v>
      </c>
      <c r="J7" s="1">
        <f t="shared" si="30"/>
        <v>1243</v>
      </c>
      <c r="K7" s="1">
        <f t="shared" si="30"/>
        <v>1376</v>
      </c>
      <c r="L7" s="1">
        <f t="shared" si="30"/>
        <v>1315</v>
      </c>
      <c r="M7" s="1">
        <f t="shared" si="30"/>
        <v>1300</v>
      </c>
      <c r="N7" s="1">
        <f t="shared" si="30"/>
        <v>1302</v>
      </c>
      <c r="O7" s="1">
        <f t="shared" si="30"/>
        <v>1376</v>
      </c>
      <c r="P7" s="1">
        <f t="shared" si="30"/>
        <v>1327</v>
      </c>
      <c r="Q7" s="1">
        <f t="shared" si="30"/>
        <v>1482.48</v>
      </c>
      <c r="T7" s="1">
        <f t="shared" ref="T7:U7" si="31">+T5-T6</f>
        <v>1568</v>
      </c>
      <c r="U7" s="1">
        <f t="shared" si="31"/>
        <v>2639</v>
      </c>
      <c r="V7" s="1">
        <f t="shared" ref="V7:W7" si="32">+V5-V6</f>
        <v>6142</v>
      </c>
      <c r="W7" s="1">
        <f t="shared" si="32"/>
        <v>6773</v>
      </c>
      <c r="X7" s="1">
        <f t="shared" ref="X7:AC7" si="33">+X5-X6</f>
        <v>5731</v>
      </c>
      <c r="Y7" s="1">
        <f t="shared" si="33"/>
        <v>4969</v>
      </c>
      <c r="Z7" s="1">
        <f t="shared" si="33"/>
        <v>5527</v>
      </c>
      <c r="AA7" s="1">
        <f t="shared" si="33"/>
        <v>5094</v>
      </c>
      <c r="AB7" s="1">
        <f t="shared" si="33"/>
        <v>4547</v>
      </c>
      <c r="AC7" s="1">
        <f t="shared" si="33"/>
        <v>5234</v>
      </c>
      <c r="AD7" s="1">
        <f t="shared" ref="AD7" si="34">+AD5-AD6</f>
        <v>5487.4800000000005</v>
      </c>
      <c r="AE7" s="1">
        <f t="shared" ref="AE7" si="35">+AE5-AE6</f>
        <v>5487.4800000000005</v>
      </c>
      <c r="AF7" s="1">
        <f t="shared" ref="AF7" si="36">+AF5-AF6</f>
        <v>5487.4800000000005</v>
      </c>
      <c r="AG7" s="1">
        <f t="shared" ref="AG7" si="37">+AG5-AG6</f>
        <v>5487.4800000000005</v>
      </c>
      <c r="AH7" s="1">
        <f t="shared" ref="AH7" si="38">+AH5-AH6</f>
        <v>5487.4800000000005</v>
      </c>
      <c r="AI7" s="1">
        <f t="shared" ref="AI7" si="39">+AI5-AI6</f>
        <v>5487.4800000000005</v>
      </c>
      <c r="AJ7" s="1">
        <f t="shared" ref="AJ7" si="40">+AJ5-AJ6</f>
        <v>5487.4800000000005</v>
      </c>
      <c r="AK7" s="1">
        <f t="shared" ref="AK7" si="41">+AK5-AK6</f>
        <v>5487.4800000000005</v>
      </c>
      <c r="AL7" s="1">
        <f t="shared" ref="AL7" si="42">+AL5-AL6</f>
        <v>5487.4800000000005</v>
      </c>
      <c r="AM7" s="1">
        <f t="shared" ref="AM7" si="43">+AM5-AM6</f>
        <v>5487.4800000000005</v>
      </c>
      <c r="AN7" s="1">
        <f t="shared" ref="AN7" si="44">+AN5-AN6</f>
        <v>5487.4800000000005</v>
      </c>
      <c r="AO7" s="1">
        <f t="shared" ref="AO7" si="45">+AO5-AO6</f>
        <v>5487.4800000000005</v>
      </c>
      <c r="AP7" s="1">
        <f t="shared" ref="AP7" si="46">+AP5-AP6</f>
        <v>5487.4800000000005</v>
      </c>
      <c r="AQ7" s="1">
        <f t="shared" ref="AQ7" si="47">+AQ5-AQ6</f>
        <v>5487.4800000000005</v>
      </c>
      <c r="AR7" s="1">
        <f t="shared" ref="AR7" si="48">+AR5-AR6</f>
        <v>5487.4800000000005</v>
      </c>
      <c r="AS7" s="1">
        <f t="shared" ref="AS7" si="49">+AS5-AS6</f>
        <v>5487.4800000000005</v>
      </c>
      <c r="AT7" s="1">
        <f t="shared" ref="AT7" si="50">+AT5-AT6</f>
        <v>5487.4800000000005</v>
      </c>
    </row>
    <row r="8" spans="1:147" x14ac:dyDescent="0.2">
      <c r="A8" s="1" t="s">
        <v>258</v>
      </c>
      <c r="B8" s="1">
        <f>-415+30</f>
        <v>-385</v>
      </c>
      <c r="C8" s="1">
        <f>-613+23</f>
        <v>-590</v>
      </c>
      <c r="D8" s="1">
        <f>-415+138</f>
        <v>-277</v>
      </c>
      <c r="E8" s="1">
        <f>+AA8+SUM(B8:D8)</f>
        <v>-3004</v>
      </c>
      <c r="F8" s="1">
        <f>-242+98</f>
        <v>-144</v>
      </c>
      <c r="G8" s="1">
        <f>-237+91</f>
        <v>-146</v>
      </c>
      <c r="H8" s="1">
        <f>-228+22</f>
        <v>-206</v>
      </c>
      <c r="I8" s="1">
        <f>+AB8+SUM(F8:H8)</f>
        <v>-1164</v>
      </c>
      <c r="J8" s="1">
        <f>-227+35</f>
        <v>-192</v>
      </c>
      <c r="K8" s="1">
        <f>-228+24</f>
        <v>-204</v>
      </c>
      <c r="L8" s="1">
        <f>-228+35</f>
        <v>-193</v>
      </c>
      <c r="M8" s="1">
        <f>+AC8+SUM(J8:L8)</f>
        <v>-1528</v>
      </c>
      <c r="N8" s="1">
        <f>-226-47</f>
        <v>-273</v>
      </c>
      <c r="O8" s="1">
        <f>-229+55</f>
        <v>-174</v>
      </c>
      <c r="P8" s="1">
        <f>-230+48</f>
        <v>-182</v>
      </c>
      <c r="Q8" s="1">
        <f>+P8*1.14</f>
        <v>-207.48</v>
      </c>
      <c r="T8" s="1">
        <f>-686-79</f>
        <v>-765</v>
      </c>
      <c r="U8" s="1">
        <f>-1321-305</f>
        <v>-1626</v>
      </c>
      <c r="V8" s="1">
        <f>-1134+15</f>
        <v>-1119</v>
      </c>
      <c r="W8" s="1">
        <f>-1234-9</f>
        <v>-1243</v>
      </c>
      <c r="X8" s="1">
        <f>-1284+168</f>
        <v>-1116</v>
      </c>
      <c r="Y8" s="1">
        <f>-1361+952</f>
        <v>-409</v>
      </c>
      <c r="Z8" s="1">
        <f>-1394+296</f>
        <v>-1098</v>
      </c>
      <c r="AA8" s="1">
        <f>-2047+295</f>
        <v>-1752</v>
      </c>
      <c r="AB8" s="1">
        <f>-921+253</f>
        <v>-668</v>
      </c>
      <c r="AC8" s="1">
        <f>-912-27</f>
        <v>-939</v>
      </c>
      <c r="AD8" s="1">
        <f>+SUM(N8:Q8)</f>
        <v>-836.48</v>
      </c>
      <c r="AE8" s="1">
        <f>+AD23*0.04</f>
        <v>-627.83400000000006</v>
      </c>
      <c r="AF8" s="1">
        <f t="shared" ref="AF8:AT8" si="51">+AE23*0.04</f>
        <v>-497.16570000000002</v>
      </c>
      <c r="AG8" s="1">
        <f t="shared" si="51"/>
        <v>-359.96398499999998</v>
      </c>
      <c r="AH8" s="1">
        <f t="shared" si="51"/>
        <v>-215.90218424999992</v>
      </c>
      <c r="AI8" s="1">
        <f t="shared" si="51"/>
        <v>-64.637293462499898</v>
      </c>
      <c r="AJ8" s="1">
        <f t="shared" si="51"/>
        <v>94.190841864375145</v>
      </c>
      <c r="AK8" s="1">
        <f t="shared" si="51"/>
        <v>260.96038395759393</v>
      </c>
      <c r="AL8" s="1">
        <f t="shared" si="51"/>
        <v>436.06840315547373</v>
      </c>
      <c r="AM8" s="1">
        <f t="shared" si="51"/>
        <v>619.93182331324749</v>
      </c>
      <c r="AN8" s="1">
        <f t="shared" si="51"/>
        <v>812.98841447891004</v>
      </c>
      <c r="AO8" s="1">
        <f t="shared" si="51"/>
        <v>1015.6978352028557</v>
      </c>
      <c r="AP8" s="1">
        <f t="shared" si="51"/>
        <v>1228.5427269629986</v>
      </c>
      <c r="AQ8" s="1">
        <f t="shared" si="51"/>
        <v>1452.0298633111486</v>
      </c>
      <c r="AR8" s="1">
        <f t="shared" si="51"/>
        <v>1686.6913564767062</v>
      </c>
      <c r="AS8" s="1">
        <f t="shared" si="51"/>
        <v>1933.0859243005418</v>
      </c>
      <c r="AT8" s="1">
        <f t="shared" si="51"/>
        <v>2191.800220515569</v>
      </c>
    </row>
    <row r="9" spans="1:147" x14ac:dyDescent="0.2">
      <c r="A9" s="1" t="s">
        <v>5</v>
      </c>
      <c r="B9" s="1">
        <f>+B7+B8</f>
        <v>934</v>
      </c>
      <c r="C9" s="1">
        <f t="shared" ref="C9:Q9" si="52">+C7+C8</f>
        <v>758</v>
      </c>
      <c r="D9" s="1">
        <f t="shared" si="52"/>
        <v>879</v>
      </c>
      <c r="E9" s="1">
        <f t="shared" si="52"/>
        <v>-1733</v>
      </c>
      <c r="F9" s="1">
        <f t="shared" si="52"/>
        <v>960</v>
      </c>
      <c r="G9" s="1">
        <f t="shared" si="52"/>
        <v>1026</v>
      </c>
      <c r="H9" s="1">
        <f t="shared" si="52"/>
        <v>840</v>
      </c>
      <c r="I9" s="1">
        <f t="shared" si="52"/>
        <v>61</v>
      </c>
      <c r="J9" s="1">
        <f t="shared" si="52"/>
        <v>1051</v>
      </c>
      <c r="K9" s="1">
        <f t="shared" si="52"/>
        <v>1172</v>
      </c>
      <c r="L9" s="1">
        <f t="shared" si="52"/>
        <v>1122</v>
      </c>
      <c r="M9" s="1">
        <f t="shared" si="52"/>
        <v>-228</v>
      </c>
      <c r="N9" s="1">
        <f t="shared" si="52"/>
        <v>1029</v>
      </c>
      <c r="O9" s="1">
        <f t="shared" si="52"/>
        <v>1202</v>
      </c>
      <c r="P9" s="1">
        <f t="shared" si="52"/>
        <v>1145</v>
      </c>
      <c r="Q9" s="1">
        <f t="shared" si="52"/>
        <v>1275</v>
      </c>
      <c r="T9" s="1">
        <f t="shared" ref="T9:AC9" si="53">+T7+T8</f>
        <v>803</v>
      </c>
      <c r="U9" s="1">
        <f t="shared" si="53"/>
        <v>1013</v>
      </c>
      <c r="V9" s="1">
        <f t="shared" si="53"/>
        <v>5023</v>
      </c>
      <c r="W9" s="1">
        <f t="shared" si="53"/>
        <v>5530</v>
      </c>
      <c r="X9" s="1">
        <f t="shared" si="53"/>
        <v>4615</v>
      </c>
      <c r="Y9" s="1">
        <f t="shared" si="53"/>
        <v>4560</v>
      </c>
      <c r="Z9" s="1">
        <f t="shared" si="53"/>
        <v>4429</v>
      </c>
      <c r="AA9" s="1">
        <f t="shared" si="53"/>
        <v>3342</v>
      </c>
      <c r="AB9" s="1">
        <f t="shared" si="53"/>
        <v>3879</v>
      </c>
      <c r="AC9" s="1">
        <f t="shared" si="53"/>
        <v>4295</v>
      </c>
      <c r="AD9" s="1">
        <f>+AD7+AD8</f>
        <v>4651</v>
      </c>
      <c r="AE9" s="1">
        <f>+AE7+AE8</f>
        <v>4859.6460000000006</v>
      </c>
      <c r="AF9" s="1">
        <f t="shared" ref="AE9:AT9" si="54">+AF7+AF8</f>
        <v>4990.3143</v>
      </c>
      <c r="AG9" s="1">
        <f t="shared" si="54"/>
        <v>5127.5160150000002</v>
      </c>
      <c r="AH9" s="1">
        <f t="shared" si="54"/>
        <v>5271.5778157500008</v>
      </c>
      <c r="AI9" s="1">
        <f t="shared" si="54"/>
        <v>5422.8427065375008</v>
      </c>
      <c r="AJ9" s="1">
        <f t="shared" si="54"/>
        <v>5581.6708418643757</v>
      </c>
      <c r="AK9" s="1">
        <f t="shared" si="54"/>
        <v>5748.4403839575943</v>
      </c>
      <c r="AL9" s="1">
        <f t="shared" si="54"/>
        <v>5923.5484031554743</v>
      </c>
      <c r="AM9" s="1">
        <f t="shared" si="54"/>
        <v>6107.4118233132476</v>
      </c>
      <c r="AN9" s="1">
        <f t="shared" si="54"/>
        <v>6300.4684144789107</v>
      </c>
      <c r="AO9" s="1">
        <f t="shared" si="54"/>
        <v>6503.1778352028559</v>
      </c>
      <c r="AP9" s="1">
        <f t="shared" si="54"/>
        <v>6716.0227269629995</v>
      </c>
      <c r="AQ9" s="1">
        <f t="shared" si="54"/>
        <v>6939.5098633111493</v>
      </c>
      <c r="AR9" s="1">
        <f t="shared" si="54"/>
        <v>7174.1713564767069</v>
      </c>
      <c r="AS9" s="1">
        <f t="shared" si="54"/>
        <v>7420.5659243005421</v>
      </c>
      <c r="AT9" s="1">
        <f t="shared" si="54"/>
        <v>7679.2802205155695</v>
      </c>
    </row>
    <row r="10" spans="1:147" x14ac:dyDescent="0.2">
      <c r="A10" s="1" t="s">
        <v>6</v>
      </c>
      <c r="B10" s="1">
        <v>136</v>
      </c>
      <c r="C10" s="1">
        <v>670</v>
      </c>
      <c r="D10" s="1">
        <v>143</v>
      </c>
      <c r="E10" s="1">
        <f>+AA10-SUM(B10:D10)</f>
        <v>-265</v>
      </c>
      <c r="F10" s="1">
        <v>190</v>
      </c>
      <c r="G10" s="1">
        <v>134</v>
      </c>
      <c r="H10" s="1">
        <v>110</v>
      </c>
      <c r="I10" s="1">
        <f>+AB10-SUM(F10:H10)</f>
        <v>164</v>
      </c>
      <c r="J10" s="1">
        <v>214</v>
      </c>
      <c r="K10" s="1">
        <v>174</v>
      </c>
      <c r="L10" s="1">
        <v>206</v>
      </c>
      <c r="M10" s="1">
        <f>+AC10-SUM(J10:L10)</f>
        <v>193</v>
      </c>
      <c r="N10" s="1">
        <v>225</v>
      </c>
      <c r="O10" s="1">
        <v>248</v>
      </c>
      <c r="P10" s="1">
        <v>7</v>
      </c>
      <c r="Q10" s="1">
        <f>+Q9*0.21</f>
        <v>267.75</v>
      </c>
      <c r="T10" s="1">
        <v>131</v>
      </c>
      <c r="U10" s="1">
        <v>366</v>
      </c>
      <c r="V10" s="1">
        <v>1381</v>
      </c>
      <c r="W10" s="1">
        <v>-5460</v>
      </c>
      <c r="X10" s="1">
        <v>-1067</v>
      </c>
      <c r="Y10" s="1">
        <v>728</v>
      </c>
      <c r="Z10" s="1">
        <v>669</v>
      </c>
      <c r="AA10" s="1">
        <v>684</v>
      </c>
      <c r="AB10" s="1">
        <v>598</v>
      </c>
      <c r="AC10" s="1">
        <v>787</v>
      </c>
      <c r="AD10" s="1">
        <f>+SUM(N10:Q10)</f>
        <v>747.75</v>
      </c>
      <c r="AE10" s="1">
        <f t="shared" ref="AE10:AT10" si="55">+AE9*0.21</f>
        <v>1020.5256600000001</v>
      </c>
      <c r="AF10" s="1">
        <f t="shared" si="55"/>
        <v>1047.966003</v>
      </c>
      <c r="AG10" s="1">
        <f t="shared" si="55"/>
        <v>1076.7783631499999</v>
      </c>
      <c r="AH10" s="1">
        <f t="shared" si="55"/>
        <v>1107.0313413075</v>
      </c>
      <c r="AI10" s="1">
        <f t="shared" si="55"/>
        <v>1138.7969683728752</v>
      </c>
      <c r="AJ10" s="1">
        <f t="shared" si="55"/>
        <v>1172.1508767915188</v>
      </c>
      <c r="AK10" s="1">
        <f t="shared" si="55"/>
        <v>1207.1724806310947</v>
      </c>
      <c r="AL10" s="1">
        <f t="shared" si="55"/>
        <v>1243.9451646626496</v>
      </c>
      <c r="AM10" s="1">
        <f t="shared" si="55"/>
        <v>1282.556482895782</v>
      </c>
      <c r="AN10" s="1">
        <f t="shared" si="55"/>
        <v>1323.0983670405712</v>
      </c>
      <c r="AO10" s="1">
        <f t="shared" si="55"/>
        <v>1365.6673453925996</v>
      </c>
      <c r="AP10" s="1">
        <f t="shared" si="55"/>
        <v>1410.3647726622298</v>
      </c>
      <c r="AQ10" s="1">
        <f t="shared" si="55"/>
        <v>1457.2970712953413</v>
      </c>
      <c r="AR10" s="1">
        <f t="shared" si="55"/>
        <v>1506.5759848601083</v>
      </c>
      <c r="AS10" s="1">
        <f t="shared" si="55"/>
        <v>1558.3188441031139</v>
      </c>
      <c r="AT10" s="1">
        <f t="shared" si="55"/>
        <v>1612.6488463082694</v>
      </c>
    </row>
    <row r="11" spans="1:147" x14ac:dyDescent="0.2">
      <c r="A11" s="1" t="s">
        <v>7</v>
      </c>
      <c r="B11" s="1">
        <f t="shared" ref="B11:Q11" si="56">+B9-B10</f>
        <v>798</v>
      </c>
      <c r="C11" s="1">
        <f t="shared" si="56"/>
        <v>88</v>
      </c>
      <c r="D11" s="1">
        <f t="shared" si="56"/>
        <v>736</v>
      </c>
      <c r="E11" s="1">
        <f t="shared" si="56"/>
        <v>-1468</v>
      </c>
      <c r="F11" s="1">
        <f t="shared" si="56"/>
        <v>770</v>
      </c>
      <c r="G11" s="1">
        <f t="shared" si="56"/>
        <v>892</v>
      </c>
      <c r="H11" s="1">
        <f t="shared" si="56"/>
        <v>730</v>
      </c>
      <c r="I11" s="1">
        <f t="shared" si="56"/>
        <v>-103</v>
      </c>
      <c r="J11" s="1">
        <f t="shared" si="56"/>
        <v>837</v>
      </c>
      <c r="K11" s="1">
        <f t="shared" si="56"/>
        <v>998</v>
      </c>
      <c r="L11" s="1">
        <f t="shared" si="56"/>
        <v>916</v>
      </c>
      <c r="M11" s="1">
        <f t="shared" si="56"/>
        <v>-421</v>
      </c>
      <c r="N11" s="1">
        <f t="shared" si="56"/>
        <v>804</v>
      </c>
      <c r="O11" s="1">
        <f t="shared" si="56"/>
        <v>954</v>
      </c>
      <c r="P11" s="1">
        <f t="shared" si="56"/>
        <v>1138</v>
      </c>
      <c r="Q11" s="1">
        <f t="shared" si="56"/>
        <v>1007.25</v>
      </c>
      <c r="T11" s="1">
        <f t="shared" ref="T11:U11" si="57">+T9-T10</f>
        <v>672</v>
      </c>
      <c r="U11" s="1">
        <f t="shared" si="57"/>
        <v>647</v>
      </c>
      <c r="V11" s="1">
        <f t="shared" ref="V11:W11" si="58">+V9-V10</f>
        <v>3642</v>
      </c>
      <c r="W11" s="1">
        <f t="shared" si="58"/>
        <v>10990</v>
      </c>
      <c r="X11" s="1">
        <f t="shared" ref="X11:AC11" si="59">+X9-X10</f>
        <v>5682</v>
      </c>
      <c r="Y11" s="1">
        <f t="shared" si="59"/>
        <v>3832</v>
      </c>
      <c r="Z11" s="1">
        <f t="shared" si="59"/>
        <v>3760</v>
      </c>
      <c r="AA11" s="1">
        <f t="shared" si="59"/>
        <v>2658</v>
      </c>
      <c r="AB11" s="1">
        <f t="shared" si="59"/>
        <v>3281</v>
      </c>
      <c r="AC11" s="1">
        <f t="shared" si="59"/>
        <v>3508</v>
      </c>
      <c r="AD11" s="1">
        <f t="shared" ref="AD11" si="60">+AD9-AD10</f>
        <v>3903.25</v>
      </c>
      <c r="AE11" s="1">
        <f>+AE9-AE10</f>
        <v>3839.1203400000004</v>
      </c>
      <c r="AF11" s="1">
        <f t="shared" ref="AF11" si="61">+AF9-AF10</f>
        <v>3942.348297</v>
      </c>
      <c r="AG11" s="1">
        <f t="shared" ref="AG11" si="62">+AG9-AG10</f>
        <v>4050.7376518500005</v>
      </c>
      <c r="AH11" s="1">
        <f t="shared" ref="AH11" si="63">+AH9-AH10</f>
        <v>4164.5464744425008</v>
      </c>
      <c r="AI11" s="1">
        <f t="shared" ref="AI11" si="64">+AI9-AI10</f>
        <v>4284.0457381646256</v>
      </c>
      <c r="AJ11" s="1">
        <f t="shared" ref="AJ11" si="65">+AJ9-AJ10</f>
        <v>4409.5199650728573</v>
      </c>
      <c r="AK11" s="1">
        <f t="shared" ref="AK11" si="66">+AK9-AK10</f>
        <v>4541.2679033264994</v>
      </c>
      <c r="AL11" s="1">
        <f t="shared" ref="AL11" si="67">+AL9-AL10</f>
        <v>4679.6032384928249</v>
      </c>
      <c r="AM11" s="1">
        <f t="shared" ref="AM11" si="68">+AM9-AM10</f>
        <v>4824.8553404174654</v>
      </c>
      <c r="AN11" s="1">
        <f t="shared" ref="AN11" si="69">+AN9-AN10</f>
        <v>4977.3700474383395</v>
      </c>
      <c r="AO11" s="1">
        <f t="shared" ref="AO11" si="70">+AO9-AO10</f>
        <v>5137.5104898102563</v>
      </c>
      <c r="AP11" s="1">
        <f t="shared" ref="AP11" si="71">+AP9-AP10</f>
        <v>5305.6579543007701</v>
      </c>
      <c r="AQ11" s="1">
        <f t="shared" ref="AQ11" si="72">+AQ9-AQ10</f>
        <v>5482.2127920158082</v>
      </c>
      <c r="AR11" s="1">
        <f t="shared" ref="AR11" si="73">+AR9-AR10</f>
        <v>5667.5953716165986</v>
      </c>
      <c r="AS11" s="1">
        <f t="shared" ref="AS11" si="74">+AS9-AS10</f>
        <v>5862.2470801974287</v>
      </c>
      <c r="AT11" s="1">
        <f t="shared" ref="AT11" si="75">+AT9-AT10</f>
        <v>6066.6313742072998</v>
      </c>
      <c r="AU11" s="1">
        <f t="shared" ref="AU11:BZ11" si="76">+AT11*(1+$AW$16)</f>
        <v>6005.965060465227</v>
      </c>
      <c r="AV11" s="1">
        <f t="shared" si="76"/>
        <v>5945.9054098605748</v>
      </c>
      <c r="AW11" s="1">
        <f t="shared" si="76"/>
        <v>5886.4463557619692</v>
      </c>
      <c r="AX11" s="1">
        <f t="shared" si="76"/>
        <v>5827.5818922043491</v>
      </c>
      <c r="AY11" s="1">
        <f t="shared" si="76"/>
        <v>5769.3060732823051</v>
      </c>
      <c r="AZ11" s="1">
        <f t="shared" si="76"/>
        <v>5711.6130125494819</v>
      </c>
      <c r="BA11" s="1">
        <f t="shared" si="76"/>
        <v>5654.4968824239868</v>
      </c>
      <c r="BB11" s="1">
        <f t="shared" si="76"/>
        <v>5597.9519135997471</v>
      </c>
      <c r="BC11" s="1">
        <f t="shared" si="76"/>
        <v>5541.9723944637499</v>
      </c>
      <c r="BD11" s="1">
        <f t="shared" si="76"/>
        <v>5486.5526705191123</v>
      </c>
      <c r="BE11" s="1">
        <f t="shared" si="76"/>
        <v>5431.6871438139215</v>
      </c>
      <c r="BF11" s="1">
        <f t="shared" si="76"/>
        <v>5377.3702723757824</v>
      </c>
      <c r="BG11" s="1">
        <f t="shared" si="76"/>
        <v>5323.5965696520243</v>
      </c>
      <c r="BH11" s="1">
        <f t="shared" si="76"/>
        <v>5270.3606039555043</v>
      </c>
      <c r="BI11" s="1">
        <f t="shared" si="76"/>
        <v>5217.6569979159494</v>
      </c>
      <c r="BJ11" s="1">
        <f t="shared" si="76"/>
        <v>5165.48042793679</v>
      </c>
      <c r="BK11" s="1">
        <f t="shared" si="76"/>
        <v>5113.8256236574216</v>
      </c>
      <c r="BL11" s="1">
        <f t="shared" si="76"/>
        <v>5062.6873674208473</v>
      </c>
      <c r="BM11" s="1">
        <f t="shared" si="76"/>
        <v>5012.0604937466387</v>
      </c>
      <c r="BN11" s="1">
        <f t="shared" si="76"/>
        <v>4961.9398888091719</v>
      </c>
      <c r="BO11" s="1">
        <f t="shared" si="76"/>
        <v>4912.3204899210805</v>
      </c>
      <c r="BP11" s="1">
        <f t="shared" si="76"/>
        <v>4863.1972850218699</v>
      </c>
      <c r="BQ11" s="1">
        <f t="shared" si="76"/>
        <v>4814.5653121716514</v>
      </c>
      <c r="BR11" s="1">
        <f t="shared" si="76"/>
        <v>4766.419659049935</v>
      </c>
      <c r="BS11" s="1">
        <f t="shared" si="76"/>
        <v>4718.7554624594359</v>
      </c>
      <c r="BT11" s="1">
        <f t="shared" si="76"/>
        <v>4671.5679078348412</v>
      </c>
      <c r="BU11" s="1">
        <f t="shared" si="76"/>
        <v>4624.8522287564929</v>
      </c>
      <c r="BV11" s="1">
        <f t="shared" si="76"/>
        <v>4578.6037064689281</v>
      </c>
      <c r="BW11" s="1">
        <f t="shared" si="76"/>
        <v>4532.8176694042386</v>
      </c>
      <c r="BX11" s="1">
        <f t="shared" si="76"/>
        <v>4487.4894927101959</v>
      </c>
      <c r="BY11" s="1">
        <f t="shared" si="76"/>
        <v>4442.6145977830938</v>
      </c>
      <c r="BZ11" s="1">
        <f t="shared" si="76"/>
        <v>4398.188451805263</v>
      </c>
      <c r="CA11" s="1">
        <f t="shared" ref="CA11:DF11" si="77">+BZ11*(1+$AW$16)</f>
        <v>4354.2065672872104</v>
      </c>
      <c r="CB11" s="1">
        <f t="shared" si="77"/>
        <v>4310.6645016143384</v>
      </c>
      <c r="CC11" s="1">
        <f t="shared" si="77"/>
        <v>4267.557856598195</v>
      </c>
      <c r="CD11" s="1">
        <f t="shared" si="77"/>
        <v>4224.8822780322134</v>
      </c>
      <c r="CE11" s="1">
        <f t="shared" si="77"/>
        <v>4182.6334552518911</v>
      </c>
      <c r="CF11" s="1">
        <f t="shared" si="77"/>
        <v>4140.8071206993718</v>
      </c>
      <c r="CG11" s="1">
        <f t="shared" si="77"/>
        <v>4099.3990494923783</v>
      </c>
      <c r="CH11" s="1">
        <f t="shared" si="77"/>
        <v>4058.4050589974545</v>
      </c>
      <c r="CI11" s="1">
        <f t="shared" si="77"/>
        <v>4017.8210084074799</v>
      </c>
      <c r="CJ11" s="1">
        <f t="shared" si="77"/>
        <v>3977.6427983234053</v>
      </c>
      <c r="CK11" s="1">
        <f t="shared" si="77"/>
        <v>3937.8663703401712</v>
      </c>
      <c r="CL11" s="1">
        <f t="shared" si="77"/>
        <v>3898.4877066367694</v>
      </c>
      <c r="CM11" s="1">
        <f t="shared" si="77"/>
        <v>3859.5028295704019</v>
      </c>
      <c r="CN11" s="1">
        <f t="shared" si="77"/>
        <v>3820.9078012746977</v>
      </c>
      <c r="CO11" s="1">
        <f t="shared" si="77"/>
        <v>3782.6987232619508</v>
      </c>
      <c r="CP11" s="1">
        <f t="shared" si="77"/>
        <v>3744.8717360293313</v>
      </c>
      <c r="CQ11" s="1">
        <f t="shared" si="77"/>
        <v>3707.4230186690379</v>
      </c>
      <c r="CR11" s="1">
        <f t="shared" si="77"/>
        <v>3670.3487884823476</v>
      </c>
      <c r="CS11" s="1">
        <f t="shared" si="77"/>
        <v>3633.6453005975241</v>
      </c>
      <c r="CT11" s="1">
        <f t="shared" si="77"/>
        <v>3597.3088475915488</v>
      </c>
      <c r="CU11" s="1">
        <f t="shared" si="77"/>
        <v>3561.3357591156332</v>
      </c>
      <c r="CV11" s="1">
        <f t="shared" si="77"/>
        <v>3525.7224015244769</v>
      </c>
      <c r="CW11" s="1">
        <f t="shared" si="77"/>
        <v>3490.465177509232</v>
      </c>
      <c r="CX11" s="1">
        <f t="shared" si="77"/>
        <v>3455.5605257341399</v>
      </c>
      <c r="CY11" s="1">
        <f t="shared" si="77"/>
        <v>3421.0049204767984</v>
      </c>
      <c r="CZ11" s="1">
        <f t="shared" si="77"/>
        <v>3386.7948712720304</v>
      </c>
      <c r="DA11" s="1">
        <f t="shared" si="77"/>
        <v>3352.9269225593102</v>
      </c>
      <c r="DB11" s="1">
        <f t="shared" si="77"/>
        <v>3319.3976533337172</v>
      </c>
      <c r="DC11" s="1">
        <f t="shared" si="77"/>
        <v>3286.20367680038</v>
      </c>
      <c r="DD11" s="1">
        <f t="shared" si="77"/>
        <v>3253.3416400323763</v>
      </c>
      <c r="DE11" s="1">
        <f t="shared" si="77"/>
        <v>3220.8082236320524</v>
      </c>
      <c r="DF11" s="1">
        <f t="shared" si="77"/>
        <v>3188.600141395732</v>
      </c>
      <c r="DG11" s="1">
        <f t="shared" ref="DG11:EQ11" si="78">+DF11*(1+$AW$16)</f>
        <v>3156.7141399817747</v>
      </c>
      <c r="DH11" s="1">
        <f t="shared" si="78"/>
        <v>3125.1469985819567</v>
      </c>
      <c r="DI11" s="1">
        <f t="shared" si="78"/>
        <v>3093.895528596137</v>
      </c>
      <c r="DJ11" s="1">
        <f t="shared" si="78"/>
        <v>3062.9565733101754</v>
      </c>
      <c r="DK11" s="1">
        <f t="shared" si="78"/>
        <v>3032.3270075770738</v>
      </c>
      <c r="DL11" s="1">
        <f t="shared" si="78"/>
        <v>3002.003737501303</v>
      </c>
      <c r="DM11" s="1">
        <f t="shared" si="78"/>
        <v>2971.9837001262899</v>
      </c>
      <c r="DN11" s="1">
        <f t="shared" si="78"/>
        <v>2942.263863125027</v>
      </c>
      <c r="DO11" s="1">
        <f t="shared" si="78"/>
        <v>2912.8412244937767</v>
      </c>
      <c r="DP11" s="1">
        <f t="shared" si="78"/>
        <v>2883.7128122488389</v>
      </c>
      <c r="DQ11" s="1">
        <f t="shared" si="78"/>
        <v>2854.8756841263503</v>
      </c>
      <c r="DR11" s="1">
        <f t="shared" si="78"/>
        <v>2826.3269272850866</v>
      </c>
      <c r="DS11" s="1">
        <f t="shared" si="78"/>
        <v>2798.0636580122359</v>
      </c>
      <c r="DT11" s="1">
        <f t="shared" si="78"/>
        <v>2770.0830214321136</v>
      </c>
      <c r="DU11" s="1">
        <f t="shared" si="78"/>
        <v>2742.3821912177923</v>
      </c>
      <c r="DV11" s="1">
        <f t="shared" si="78"/>
        <v>2714.9583693056143</v>
      </c>
      <c r="DW11" s="1">
        <f t="shared" si="78"/>
        <v>2687.808785612558</v>
      </c>
      <c r="DX11" s="1">
        <f t="shared" si="78"/>
        <v>2660.9306977564324</v>
      </c>
      <c r="DY11" s="1">
        <f t="shared" si="78"/>
        <v>2634.3213907788681</v>
      </c>
      <c r="DZ11" s="1">
        <f t="shared" si="78"/>
        <v>2607.9781768710795</v>
      </c>
      <c r="EA11" s="1">
        <f t="shared" si="78"/>
        <v>2581.8983951023688</v>
      </c>
      <c r="EB11" s="1">
        <f t="shared" si="78"/>
        <v>2556.0794111513451</v>
      </c>
      <c r="EC11" s="1">
        <f t="shared" si="78"/>
        <v>2530.5186170398315</v>
      </c>
      <c r="ED11" s="1">
        <f t="shared" si="78"/>
        <v>2505.2134308694331</v>
      </c>
      <c r="EE11" s="1">
        <f t="shared" si="78"/>
        <v>2480.1612965607387</v>
      </c>
      <c r="EF11" s="1">
        <f t="shared" si="78"/>
        <v>2455.3596835951312</v>
      </c>
      <c r="EG11" s="1">
        <f t="shared" si="78"/>
        <v>2430.8060867591798</v>
      </c>
      <c r="EH11" s="1">
        <f t="shared" si="78"/>
        <v>2406.498025891588</v>
      </c>
      <c r="EI11" s="1">
        <f t="shared" si="78"/>
        <v>2382.433045632672</v>
      </c>
      <c r="EJ11" s="1">
        <f t="shared" si="78"/>
        <v>2358.6087151763454</v>
      </c>
      <c r="EK11" s="1">
        <f t="shared" si="78"/>
        <v>2335.022628024582</v>
      </c>
      <c r="EL11" s="1">
        <f t="shared" si="78"/>
        <v>2311.6724017443362</v>
      </c>
      <c r="EM11" s="1">
        <f t="shared" si="78"/>
        <v>2288.555677726893</v>
      </c>
      <c r="EN11" s="1">
        <f t="shared" si="78"/>
        <v>2265.6701209496241</v>
      </c>
      <c r="EO11" s="1">
        <f t="shared" si="78"/>
        <v>2243.013419740128</v>
      </c>
      <c r="EP11" s="1">
        <f t="shared" si="78"/>
        <v>2220.5832855427266</v>
      </c>
      <c r="EQ11" s="1">
        <f t="shared" si="78"/>
        <v>2198.3774526872994</v>
      </c>
    </row>
    <row r="12" spans="1:147" s="4" customFormat="1" x14ac:dyDescent="0.2">
      <c r="A12" s="4" t="s">
        <v>8</v>
      </c>
      <c r="B12" s="4">
        <f t="shared" ref="B12:Q12" si="79">+B11/B13</f>
        <v>0.65142857142857147</v>
      </c>
      <c r="C12" s="4">
        <f t="shared" si="79"/>
        <v>7.1836734693877552E-2</v>
      </c>
      <c r="D12" s="4">
        <f t="shared" si="79"/>
        <v>0.60130718954248363</v>
      </c>
      <c r="E12" s="4">
        <f t="shared" si="79"/>
        <v>-1.1993464052287581</v>
      </c>
      <c r="F12" s="4">
        <f t="shared" si="79"/>
        <v>0.62857142857142856</v>
      </c>
      <c r="G12" s="4">
        <f t="shared" si="79"/>
        <v>0.72816326530612241</v>
      </c>
      <c r="H12" s="4">
        <f t="shared" si="79"/>
        <v>0.59494702526487364</v>
      </c>
      <c r="I12" s="4">
        <f t="shared" si="79"/>
        <v>-8.408163265306122E-2</v>
      </c>
      <c r="J12" s="4">
        <f t="shared" si="79"/>
        <v>0.68215158924205377</v>
      </c>
      <c r="K12" s="4">
        <f t="shared" si="79"/>
        <v>0.81270358306188928</v>
      </c>
      <c r="L12" s="4">
        <f t="shared" si="79"/>
        <v>0.7465362673186634</v>
      </c>
      <c r="M12" s="4">
        <f t="shared" si="79"/>
        <v>-0.34564860426929395</v>
      </c>
      <c r="N12" s="4">
        <f t="shared" si="79"/>
        <v>0.66227347611202636</v>
      </c>
      <c r="O12" s="4">
        <f t="shared" si="79"/>
        <v>0.78908188585607941</v>
      </c>
      <c r="P12" s="4">
        <f t="shared" si="79"/>
        <v>0.9412737799834574</v>
      </c>
      <c r="Q12" s="4">
        <f t="shared" si="79"/>
        <v>0.8331265508684863</v>
      </c>
      <c r="T12" s="4">
        <f t="shared" ref="T12:U12" si="80">+T11/T13</f>
        <v>1.7824438999720811</v>
      </c>
      <c r="U12" s="4">
        <f t="shared" si="80"/>
        <v>0.53295825724633439</v>
      </c>
      <c r="V12" s="4">
        <f t="shared" ref="V12:W12" si="81">+V11/V13</f>
        <v>2.9926047658175841</v>
      </c>
      <c r="W12" s="4">
        <f t="shared" si="81"/>
        <v>9.015586546349466</v>
      </c>
      <c r="X12" s="4">
        <f t="shared" ref="X12:AC12" si="82">+X11/X13</f>
        <v>4.6535626535626538</v>
      </c>
      <c r="Y12" s="4">
        <f t="shared" si="82"/>
        <v>3.1384111384111386</v>
      </c>
      <c r="Z12" s="4">
        <f t="shared" si="82"/>
        <v>3.0744071954210956</v>
      </c>
      <c r="AA12" s="4">
        <f t="shared" si="82"/>
        <v>2.1715686274509802</v>
      </c>
      <c r="AB12" s="4">
        <f t="shared" si="82"/>
        <v>2.6783673469387757</v>
      </c>
      <c r="AC12" s="4">
        <f t="shared" si="82"/>
        <v>2.8801313628899834</v>
      </c>
      <c r="AD12" s="4">
        <f t="shared" ref="AD12" si="83">+AD11/AD13</f>
        <v>3.2700395429107609</v>
      </c>
      <c r="AE12" s="4">
        <f t="shared" ref="AE12" si="84">+AE11/AE13</f>
        <v>3.2819524602844061</v>
      </c>
      <c r="AF12" s="4">
        <f t="shared" ref="AF12" si="85">+AF11/AF13</f>
        <v>3.4389786144575418</v>
      </c>
      <c r="AG12" s="4">
        <f t="shared" ref="AG12" si="86">+AG11/AG13</f>
        <v>3.6056413506315868</v>
      </c>
      <c r="AH12" s="4">
        <f t="shared" ref="AH12" si="87">+AH11/AH13</f>
        <v>3.7825967599317352</v>
      </c>
      <c r="AI12" s="4">
        <f t="shared" ref="AI12" si="88">+AI11/AI13</f>
        <v>3.9705471392541538</v>
      </c>
      <c r="AJ12" s="4">
        <f t="shared" ref="AJ12" si="89">+AJ11/AJ13</f>
        <v>4.1702442782520555</v>
      </c>
      <c r="AK12" s="4">
        <f t="shared" ref="AK12" si="90">+AK11/AK13</f>
        <v>4.3824929808324828</v>
      </c>
      <c r="AL12" s="4">
        <f t="shared" ref="AL12" si="91">+AL11/AL13</f>
        <v>4.608154837908998</v>
      </c>
      <c r="AM12" s="4">
        <f t="shared" ref="AM12" si="92">+AM11/AM13</f>
        <v>4.8481522693513828</v>
      </c>
      <c r="AN12" s="4">
        <f t="shared" ref="AN12" si="93">+AN11/AN13</f>
        <v>5.1034728543549379</v>
      </c>
      <c r="AO12" s="4">
        <f t="shared" ref="AO12" si="94">+AO11/AO13</f>
        <v>5.3751739708247781</v>
      </c>
      <c r="AP12" s="4">
        <f t="shared" ref="AP12" si="95">+AP11/AP13</f>
        <v>5.6643877658416235</v>
      </c>
      <c r="AQ12" s="4">
        <f t="shared" ref="AQ12" si="96">+AQ11/AQ13</f>
        <v>5.9723264808515246</v>
      </c>
      <c r="AR12" s="4">
        <f t="shared" ref="AR12" si="97">+AR11/AR13</f>
        <v>6.3002881569106703</v>
      </c>
      <c r="AS12" s="4">
        <f t="shared" ref="AS12" si="98">+AS11/AS13</f>
        <v>6.6496627471256105</v>
      </c>
      <c r="AT12" s="4">
        <f t="shared" ref="AT12" si="99">+AT11/AT13</f>
        <v>7.0219386653677081</v>
      </c>
    </row>
    <row r="13" spans="1:147" x14ac:dyDescent="0.2">
      <c r="A13" s="1" t="s">
        <v>9</v>
      </c>
      <c r="B13" s="1">
        <v>1225</v>
      </c>
      <c r="C13" s="1">
        <v>1225</v>
      </c>
      <c r="D13" s="1">
        <v>1224</v>
      </c>
      <c r="E13" s="1">
        <v>1224</v>
      </c>
      <c r="F13" s="1">
        <v>1225</v>
      </c>
      <c r="G13" s="1">
        <v>1225</v>
      </c>
      <c r="H13" s="1">
        <v>1227</v>
      </c>
      <c r="I13" s="1">
        <v>1225</v>
      </c>
      <c r="J13" s="1">
        <v>1227</v>
      </c>
      <c r="K13" s="1">
        <v>1228</v>
      </c>
      <c r="L13" s="1">
        <v>1227</v>
      </c>
      <c r="M13" s="1">
        <v>1218</v>
      </c>
      <c r="N13" s="1">
        <v>1214</v>
      </c>
      <c r="O13" s="1">
        <v>1209</v>
      </c>
      <c r="P13" s="1">
        <v>1209</v>
      </c>
      <c r="Q13" s="1">
        <v>1209</v>
      </c>
      <c r="T13" s="1">
        <v>377.01046300000002</v>
      </c>
      <c r="U13" s="1">
        <v>1213.978752</v>
      </c>
      <c r="V13" s="1">
        <v>1217</v>
      </c>
      <c r="W13" s="1">
        <v>1219</v>
      </c>
      <c r="X13" s="1">
        <v>1221</v>
      </c>
      <c r="Y13" s="1">
        <v>1221</v>
      </c>
      <c r="Z13" s="1">
        <v>1223</v>
      </c>
      <c r="AA13" s="1">
        <v>1224</v>
      </c>
      <c r="AB13" s="1">
        <v>1225</v>
      </c>
      <c r="AC13" s="1">
        <v>1218</v>
      </c>
      <c r="AD13" s="1">
        <f>+AC13*0.98</f>
        <v>1193.6399999999999</v>
      </c>
      <c r="AE13" s="1">
        <f t="shared" ref="AE13:AT13" si="100">+AD13*0.98</f>
        <v>1169.7671999999998</v>
      </c>
      <c r="AF13" s="1">
        <f t="shared" si="100"/>
        <v>1146.3718559999998</v>
      </c>
      <c r="AG13" s="1">
        <f t="shared" si="100"/>
        <v>1123.4444188799998</v>
      </c>
      <c r="AH13" s="1">
        <f t="shared" si="100"/>
        <v>1100.9755305023998</v>
      </c>
      <c r="AI13" s="1">
        <f t="shared" si="100"/>
        <v>1078.9560198923518</v>
      </c>
      <c r="AJ13" s="1">
        <f t="shared" si="100"/>
        <v>1057.3768994945049</v>
      </c>
      <c r="AK13" s="1">
        <f t="shared" si="100"/>
        <v>1036.2293615046146</v>
      </c>
      <c r="AL13" s="1">
        <f t="shared" si="100"/>
        <v>1015.5047742745223</v>
      </c>
      <c r="AM13" s="1">
        <f t="shared" si="100"/>
        <v>995.19467878903185</v>
      </c>
      <c r="AN13" s="1">
        <f t="shared" si="100"/>
        <v>975.29078521325118</v>
      </c>
      <c r="AO13" s="1">
        <f t="shared" si="100"/>
        <v>955.78496950898614</v>
      </c>
      <c r="AP13" s="1">
        <f t="shared" si="100"/>
        <v>936.66927011880637</v>
      </c>
      <c r="AQ13" s="1">
        <f t="shared" si="100"/>
        <v>917.93588471643022</v>
      </c>
      <c r="AR13" s="1">
        <f t="shared" si="100"/>
        <v>899.57716702210155</v>
      </c>
      <c r="AS13" s="1">
        <f t="shared" si="100"/>
        <v>881.58562368165951</v>
      </c>
      <c r="AT13" s="1">
        <f t="shared" si="100"/>
        <v>863.95391120802628</v>
      </c>
    </row>
    <row r="15" spans="1:147" s="3" customFormat="1" x14ac:dyDescent="0.2">
      <c r="A15" s="3" t="s">
        <v>10</v>
      </c>
      <c r="B15" s="3">
        <f t="shared" ref="B15:P15" si="101">+B5/B3</f>
        <v>0.34422896465436348</v>
      </c>
      <c r="C15" s="3">
        <f t="shared" si="101"/>
        <v>0.34633408919123204</v>
      </c>
      <c r="D15" s="3">
        <f t="shared" si="101"/>
        <v>0.3206831119544592</v>
      </c>
      <c r="E15" s="3">
        <f t="shared" si="101"/>
        <v>0.32225368907437768</v>
      </c>
      <c r="F15" s="3">
        <f t="shared" si="101"/>
        <v>0.31943755169561622</v>
      </c>
      <c r="G15" s="3">
        <f t="shared" si="101"/>
        <v>0.30271589868782423</v>
      </c>
      <c r="H15" s="3">
        <f t="shared" si="101"/>
        <v>0.28343067937288657</v>
      </c>
      <c r="I15" s="3">
        <f t="shared" si="101"/>
        <v>0.32018970189701895</v>
      </c>
      <c r="J15" s="3">
        <f t="shared" si="101"/>
        <v>0.32562798582216057</v>
      </c>
      <c r="K15" s="3">
        <f t="shared" si="101"/>
        <v>0.33640827257848532</v>
      </c>
      <c r="L15" s="3">
        <f t="shared" si="101"/>
        <v>0.34018264840182649</v>
      </c>
      <c r="M15" s="3">
        <f t="shared" si="101"/>
        <v>0.33775510204081632</v>
      </c>
      <c r="N15" s="3">
        <f t="shared" si="101"/>
        <v>0.34986741537981592</v>
      </c>
      <c r="O15" s="3">
        <f t="shared" si="101"/>
        <v>0.35423100679431746</v>
      </c>
      <c r="P15" s="3">
        <f t="shared" si="101"/>
        <v>0.34247219175936078</v>
      </c>
      <c r="Q15" s="3">
        <f t="shared" ref="Q15" si="102">+Q5/Q3</f>
        <v>0.35</v>
      </c>
      <c r="T15" s="3">
        <f t="shared" ref="T15:U15" si="103">+T5/T3</f>
        <v>0.30003662332906061</v>
      </c>
      <c r="U15" s="3">
        <f t="shared" si="103"/>
        <v>0.31415639655360456</v>
      </c>
      <c r="V15" s="3">
        <f t="shared" ref="V15:W15" si="104">+V5/V3</f>
        <v>0.36191339147506324</v>
      </c>
      <c r="W15" s="3">
        <f t="shared" si="104"/>
        <v>0.3698917352851479</v>
      </c>
      <c r="X15" s="3">
        <f t="shared" ref="X15:AC15" si="105">+X5/X3</f>
        <v>0.33961474036850919</v>
      </c>
      <c r="Y15" s="3">
        <f t="shared" si="105"/>
        <v>0.32618008567882451</v>
      </c>
      <c r="Z15" s="3">
        <f t="shared" si="105"/>
        <v>0.35046782509070079</v>
      </c>
      <c r="AA15" s="3">
        <f t="shared" si="105"/>
        <v>0.33338453267798174</v>
      </c>
      <c r="AB15" s="3">
        <f t="shared" si="105"/>
        <v>0.30666414951859544</v>
      </c>
      <c r="AC15" s="3">
        <f t="shared" si="105"/>
        <v>0.33506006006006006</v>
      </c>
      <c r="AD15" s="3">
        <f t="shared" ref="AD15:AT15" si="106">+AD5/AD3</f>
        <v>0.34917647239075811</v>
      </c>
      <c r="AE15" s="3">
        <f t="shared" si="106"/>
        <v>0.34917647239075811</v>
      </c>
      <c r="AF15" s="3">
        <f t="shared" si="106"/>
        <v>0.34917647239075811</v>
      </c>
      <c r="AG15" s="3">
        <f t="shared" si="106"/>
        <v>0.34917647239075811</v>
      </c>
      <c r="AH15" s="3">
        <f t="shared" si="106"/>
        <v>0.34917647239075811</v>
      </c>
      <c r="AI15" s="3">
        <f t="shared" si="106"/>
        <v>0.34917647239075811</v>
      </c>
      <c r="AJ15" s="3">
        <f t="shared" si="106"/>
        <v>0.34917647239075811</v>
      </c>
      <c r="AK15" s="3">
        <f t="shared" si="106"/>
        <v>0.34917647239075811</v>
      </c>
      <c r="AL15" s="3">
        <f t="shared" si="106"/>
        <v>0.34917647239075811</v>
      </c>
      <c r="AM15" s="3">
        <f t="shared" si="106"/>
        <v>0.34917647239075811</v>
      </c>
      <c r="AN15" s="3">
        <f t="shared" si="106"/>
        <v>0.34917647239075811</v>
      </c>
      <c r="AO15" s="3">
        <f t="shared" si="106"/>
        <v>0.34917647239075811</v>
      </c>
      <c r="AP15" s="3">
        <f t="shared" si="106"/>
        <v>0.34917647239075811</v>
      </c>
      <c r="AQ15" s="3">
        <f t="shared" si="106"/>
        <v>0.34917647239075811</v>
      </c>
      <c r="AR15" s="3">
        <f t="shared" si="106"/>
        <v>0.34917647239075811</v>
      </c>
      <c r="AS15" s="3">
        <f t="shared" si="106"/>
        <v>0.34917647239075811</v>
      </c>
      <c r="AT15" s="3">
        <f t="shared" si="106"/>
        <v>0.34917647239075811</v>
      </c>
      <c r="AV15" s="1" t="s">
        <v>260</v>
      </c>
      <c r="AW15" s="3">
        <v>0.04</v>
      </c>
    </row>
    <row r="16" spans="1:147" s="3" customFormat="1" x14ac:dyDescent="0.2">
      <c r="A16" s="3" t="s">
        <v>261</v>
      </c>
      <c r="B16" s="3">
        <f t="shared" ref="B16:O16" si="107">+B6/B3</f>
        <v>0.13794182045667813</v>
      </c>
      <c r="C16" s="3">
        <f t="shared" si="107"/>
        <v>0.14255479969765683</v>
      </c>
      <c r="D16" s="3">
        <f t="shared" si="107"/>
        <v>0.13788741302972801</v>
      </c>
      <c r="E16" s="3">
        <f t="shared" si="107"/>
        <v>0.13280667759725742</v>
      </c>
      <c r="F16" s="3">
        <f t="shared" si="107"/>
        <v>0.13680727874276261</v>
      </c>
      <c r="G16" s="3">
        <f t="shared" si="107"/>
        <v>0.12389380530973451</v>
      </c>
      <c r="H16" s="3">
        <f t="shared" si="107"/>
        <v>0.12265600983707348</v>
      </c>
      <c r="I16" s="3">
        <f t="shared" si="107"/>
        <v>0.15420054200542005</v>
      </c>
      <c r="J16" s="3">
        <f t="shared" si="107"/>
        <v>0.13407304669440592</v>
      </c>
      <c r="K16" s="3">
        <f t="shared" si="107"/>
        <v>0.13167683380449338</v>
      </c>
      <c r="L16" s="3">
        <f t="shared" si="107"/>
        <v>0.14003044140030441</v>
      </c>
      <c r="M16" s="3">
        <f t="shared" si="107"/>
        <v>0.14825072886297377</v>
      </c>
      <c r="N16" s="3">
        <f t="shared" si="107"/>
        <v>0.14677897363905787</v>
      </c>
      <c r="O16" s="3">
        <f t="shared" si="107"/>
        <v>0.14175416924027176</v>
      </c>
      <c r="P16" s="3">
        <f>+P6/P3</f>
        <v>0.13457621807927306</v>
      </c>
      <c r="Q16" s="3">
        <f>+Q6/Q3</f>
        <v>0.13317439887673316</v>
      </c>
      <c r="T16" s="3">
        <f t="shared" ref="T16:AB16" si="108">+T6/T3</f>
        <v>0.15647317341146311</v>
      </c>
      <c r="U16" s="3">
        <f t="shared" si="108"/>
        <v>0.17024757334496673</v>
      </c>
      <c r="V16" s="3">
        <f t="shared" si="108"/>
        <v>0.13002605051534716</v>
      </c>
      <c r="W16" s="3">
        <f t="shared" si="108"/>
        <v>0.11169563891430315</v>
      </c>
      <c r="X16" s="3">
        <f t="shared" si="108"/>
        <v>0.12144053601340034</v>
      </c>
      <c r="Y16" s="3">
        <f t="shared" si="108"/>
        <v>0.12723705809344596</v>
      </c>
      <c r="Z16" s="3">
        <f t="shared" si="108"/>
        <v>0.13939278212717204</v>
      </c>
      <c r="AA16" s="3">
        <f t="shared" si="108"/>
        <v>0.13777743644881346</v>
      </c>
      <c r="AB16" s="3">
        <f t="shared" si="108"/>
        <v>0.13498206531999246</v>
      </c>
      <c r="AC16" s="3">
        <f>+AC6/AC3</f>
        <v>0.13858858858858858</v>
      </c>
      <c r="AV16" s="3" t="s">
        <v>250</v>
      </c>
      <c r="AW16" s="3">
        <v>-0.01</v>
      </c>
    </row>
    <row r="17" spans="1:49" s="3" customFormat="1" x14ac:dyDescent="0.2">
      <c r="A17" s="3" t="s">
        <v>11</v>
      </c>
      <c r="B17" s="3">
        <f t="shared" ref="B17:P17" si="109">+B7/B3</f>
        <v>0.20628714419768532</v>
      </c>
      <c r="C17" s="3">
        <f t="shared" si="109"/>
        <v>0.20377928949357521</v>
      </c>
      <c r="D17" s="3">
        <f t="shared" si="109"/>
        <v>0.18279569892473119</v>
      </c>
      <c r="E17" s="3">
        <f t="shared" si="109"/>
        <v>0.18944701147712029</v>
      </c>
      <c r="F17" s="3">
        <f t="shared" si="109"/>
        <v>0.18263027295285361</v>
      </c>
      <c r="G17" s="3">
        <f t="shared" si="109"/>
        <v>0.17882209337808971</v>
      </c>
      <c r="H17" s="3">
        <f t="shared" si="109"/>
        <v>0.1607746695358131</v>
      </c>
      <c r="I17" s="3">
        <f t="shared" si="109"/>
        <v>0.1659891598915989</v>
      </c>
      <c r="J17" s="3">
        <f t="shared" si="109"/>
        <v>0.19155493912775468</v>
      </c>
      <c r="K17" s="3">
        <f t="shared" si="109"/>
        <v>0.20473143877399197</v>
      </c>
      <c r="L17" s="3">
        <f t="shared" si="109"/>
        <v>0.20015220700152206</v>
      </c>
      <c r="M17" s="3">
        <f t="shared" si="109"/>
        <v>0.18950437317784258</v>
      </c>
      <c r="N17" s="3">
        <f t="shared" si="109"/>
        <v>0.20308844174075807</v>
      </c>
      <c r="O17" s="3">
        <f t="shared" si="109"/>
        <v>0.2124768375540457</v>
      </c>
      <c r="P17" s="3">
        <f t="shared" si="109"/>
        <v>0.20789597368008772</v>
      </c>
      <c r="Q17" s="3">
        <f t="shared" ref="Q17" si="110">+Q7/Q3</f>
        <v>0.21682560112326682</v>
      </c>
      <c r="T17" s="3">
        <f t="shared" ref="T17:U17" si="111">+T7/T3</f>
        <v>0.14356344991759751</v>
      </c>
      <c r="U17" s="3">
        <f t="shared" si="111"/>
        <v>0.14390882320863779</v>
      </c>
      <c r="V17" s="3">
        <f t="shared" ref="V17:W17" si="112">+V7/V3</f>
        <v>0.23188734095971608</v>
      </c>
      <c r="W17" s="3">
        <f t="shared" si="112"/>
        <v>0.25819609637084479</v>
      </c>
      <c r="X17" s="3">
        <f t="shared" ref="X17:AC17" si="113">+X7/X3</f>
        <v>0.21817420435510887</v>
      </c>
      <c r="Y17" s="3">
        <f t="shared" si="113"/>
        <v>0.19894302758537855</v>
      </c>
      <c r="Z17" s="3">
        <f t="shared" si="113"/>
        <v>0.21107504296352875</v>
      </c>
      <c r="AA17" s="3">
        <f t="shared" si="113"/>
        <v>0.19560709622916828</v>
      </c>
      <c r="AB17" s="3">
        <f t="shared" si="113"/>
        <v>0.17168208419860298</v>
      </c>
      <c r="AC17" s="3">
        <f t="shared" si="113"/>
        <v>0.19647147147147148</v>
      </c>
      <c r="AD17" s="3">
        <f t="shared" ref="AD17:AT17" si="114">+AD7/AD3</f>
        <v>0.21019029233314948</v>
      </c>
      <c r="AE17" s="3">
        <f t="shared" si="114"/>
        <v>0.21019029233314948</v>
      </c>
      <c r="AF17" s="3">
        <f t="shared" si="114"/>
        <v>0.21019029233314948</v>
      </c>
      <c r="AG17" s="3">
        <f t="shared" si="114"/>
        <v>0.21019029233314948</v>
      </c>
      <c r="AH17" s="3">
        <f t="shared" si="114"/>
        <v>0.21019029233314948</v>
      </c>
      <c r="AI17" s="3">
        <f t="shared" si="114"/>
        <v>0.21019029233314948</v>
      </c>
      <c r="AJ17" s="3">
        <f t="shared" si="114"/>
        <v>0.21019029233314948</v>
      </c>
      <c r="AK17" s="3">
        <f t="shared" si="114"/>
        <v>0.21019029233314948</v>
      </c>
      <c r="AL17" s="3">
        <f t="shared" si="114"/>
        <v>0.21019029233314948</v>
      </c>
      <c r="AM17" s="3">
        <f t="shared" si="114"/>
        <v>0.21019029233314948</v>
      </c>
      <c r="AN17" s="3">
        <f t="shared" si="114"/>
        <v>0.21019029233314948</v>
      </c>
      <c r="AO17" s="3">
        <f t="shared" si="114"/>
        <v>0.21019029233314948</v>
      </c>
      <c r="AP17" s="3">
        <f t="shared" si="114"/>
        <v>0.21019029233314948</v>
      </c>
      <c r="AQ17" s="3">
        <f t="shared" si="114"/>
        <v>0.21019029233314948</v>
      </c>
      <c r="AR17" s="3">
        <f t="shared" si="114"/>
        <v>0.21019029233314948</v>
      </c>
      <c r="AS17" s="3">
        <f t="shared" si="114"/>
        <v>0.21019029233314948</v>
      </c>
      <c r="AT17" s="3">
        <f t="shared" si="114"/>
        <v>0.21019029233314948</v>
      </c>
      <c r="AV17" s="3" t="s">
        <v>251</v>
      </c>
      <c r="AW17" s="3">
        <v>0.09</v>
      </c>
    </row>
    <row r="18" spans="1:49" s="3" customFormat="1" x14ac:dyDescent="0.2">
      <c r="A18" s="3" t="s">
        <v>12</v>
      </c>
      <c r="B18" s="3">
        <f t="shared" ref="B18:P18" si="115">+B11/B3</f>
        <v>0.12480450422270879</v>
      </c>
      <c r="C18" s="3">
        <f t="shared" si="115"/>
        <v>1.3303099017384731E-2</v>
      </c>
      <c r="D18" s="3">
        <f t="shared" si="115"/>
        <v>0.116382036685642</v>
      </c>
      <c r="E18" s="3">
        <f t="shared" si="115"/>
        <v>-0.21881055298852287</v>
      </c>
      <c r="F18" s="3">
        <f t="shared" si="115"/>
        <v>0.12737799834574029</v>
      </c>
      <c r="G18" s="3">
        <f t="shared" si="115"/>
        <v>0.13610009154714678</v>
      </c>
      <c r="H18" s="3">
        <f t="shared" si="115"/>
        <v>0.11220411927451583</v>
      </c>
      <c r="I18" s="3">
        <f t="shared" si="115"/>
        <v>-1.3956639566395665E-2</v>
      </c>
      <c r="J18" s="3">
        <f t="shared" si="115"/>
        <v>0.1289875173370319</v>
      </c>
      <c r="K18" s="3">
        <f t="shared" si="115"/>
        <v>0.14848980806427614</v>
      </c>
      <c r="L18" s="3">
        <f t="shared" si="115"/>
        <v>0.13942161339421613</v>
      </c>
      <c r="M18" s="3">
        <f t="shared" si="115"/>
        <v>-6.1370262390670553E-2</v>
      </c>
      <c r="N18" s="3">
        <f t="shared" si="115"/>
        <v>0.1254094525035096</v>
      </c>
      <c r="O18" s="3">
        <f t="shared" si="115"/>
        <v>0.14731315626930203</v>
      </c>
      <c r="P18" s="3">
        <f t="shared" si="115"/>
        <v>0.17828607237975874</v>
      </c>
      <c r="Q18" s="3">
        <f t="shared" ref="Q18" si="116">+Q11/Q3</f>
        <v>0.1473190779851401</v>
      </c>
      <c r="T18" s="3">
        <f t="shared" ref="T18:U18" si="117">+T11/T3</f>
        <v>6.1527192821827503E-2</v>
      </c>
      <c r="U18" s="3">
        <f t="shared" si="117"/>
        <v>3.5281928236448906E-2</v>
      </c>
      <c r="V18" s="3">
        <f t="shared" ref="V18:W18" si="118">+V11/V3</f>
        <v>0.13750141578887756</v>
      </c>
      <c r="W18" s="3">
        <f t="shared" si="118"/>
        <v>0.4189539493748094</v>
      </c>
      <c r="X18" s="3">
        <f t="shared" ref="X18:AC18" si="119">+X11/X3</f>
        <v>0.21630881681132938</v>
      </c>
      <c r="Y18" s="3">
        <f t="shared" si="119"/>
        <v>0.15342114745565921</v>
      </c>
      <c r="Z18" s="3">
        <f t="shared" si="119"/>
        <v>0.14359366049264846</v>
      </c>
      <c r="AA18" s="3">
        <f t="shared" si="119"/>
        <v>0.10206589355656248</v>
      </c>
      <c r="AB18" s="3">
        <f t="shared" si="119"/>
        <v>0.12388144232584482</v>
      </c>
      <c r="AC18" s="3">
        <f t="shared" si="119"/>
        <v>0.13168168168168168</v>
      </c>
      <c r="AD18" s="3">
        <f t="shared" ref="AD18:AT18" si="120">+AD11/AD3</f>
        <v>0.14950856468713611</v>
      </c>
      <c r="AE18" s="3">
        <f t="shared" si="120"/>
        <v>0.14705216721823866</v>
      </c>
      <c r="AF18" s="3">
        <f t="shared" si="120"/>
        <v>0.15100617059661703</v>
      </c>
      <c r="AG18" s="3">
        <f t="shared" si="120"/>
        <v>0.15515787414391433</v>
      </c>
      <c r="AH18" s="3">
        <f t="shared" si="120"/>
        <v>0.15951716286857651</v>
      </c>
      <c r="AI18" s="3">
        <f t="shared" si="120"/>
        <v>0.16409441602947178</v>
      </c>
      <c r="AJ18" s="3">
        <f t="shared" si="120"/>
        <v>0.16890053184841183</v>
      </c>
      <c r="AK18" s="3">
        <f t="shared" si="120"/>
        <v>0.17394695345829883</v>
      </c>
      <c r="AL18" s="3">
        <f t="shared" si="120"/>
        <v>0.17924569614868024</v>
      </c>
      <c r="AM18" s="3">
        <f t="shared" si="120"/>
        <v>0.18480937597358066</v>
      </c>
      <c r="AN18" s="3">
        <f t="shared" si="120"/>
        <v>0.19065123978972617</v>
      </c>
      <c r="AO18" s="3">
        <f t="shared" si="120"/>
        <v>0.19678519679667894</v>
      </c>
      <c r="AP18" s="3">
        <f t="shared" si="120"/>
        <v>0.20322585165397936</v>
      </c>
      <c r="AQ18" s="3">
        <f t="shared" si="120"/>
        <v>0.20998853925414476</v>
      </c>
      <c r="AR18" s="3">
        <f t="shared" si="120"/>
        <v>0.21708936123431843</v>
      </c>
      <c r="AS18" s="3">
        <f t="shared" si="120"/>
        <v>0.22454522431350082</v>
      </c>
      <c r="AT18" s="3">
        <f t="shared" si="120"/>
        <v>0.23237388054664229</v>
      </c>
      <c r="AV18" s="3" t="s">
        <v>252</v>
      </c>
      <c r="AW18" s="1">
        <f>+NPV(AW17,AD11:EQ11)</f>
        <v>52309.45076969923</v>
      </c>
    </row>
    <row r="19" spans="1:49" s="3" customFormat="1" x14ac:dyDescent="0.2">
      <c r="A19" s="3" t="s">
        <v>13</v>
      </c>
      <c r="B19" s="3">
        <f t="shared" ref="B19:P19" si="121">+B10/B9</f>
        <v>0.145610278372591</v>
      </c>
      <c r="C19" s="3">
        <f t="shared" si="121"/>
        <v>0.88390501319261217</v>
      </c>
      <c r="D19" s="3">
        <f t="shared" si="121"/>
        <v>0.1626848691695108</v>
      </c>
      <c r="E19" s="3">
        <f t="shared" si="121"/>
        <v>0.1529140219272937</v>
      </c>
      <c r="F19" s="3">
        <f t="shared" si="121"/>
        <v>0.19791666666666666</v>
      </c>
      <c r="G19" s="3">
        <f t="shared" si="121"/>
        <v>0.13060428849902533</v>
      </c>
      <c r="H19" s="3">
        <f t="shared" si="121"/>
        <v>0.13095238095238096</v>
      </c>
      <c r="I19" s="3">
        <f t="shared" si="121"/>
        <v>2.6885245901639343</v>
      </c>
      <c r="J19" s="3">
        <f t="shared" si="121"/>
        <v>0.20361560418648905</v>
      </c>
      <c r="K19" s="3">
        <f t="shared" si="121"/>
        <v>0.14846416382252559</v>
      </c>
      <c r="L19" s="3">
        <f t="shared" si="121"/>
        <v>0.18360071301247771</v>
      </c>
      <c r="M19" s="3">
        <f t="shared" si="121"/>
        <v>-0.84649122807017541</v>
      </c>
      <c r="N19" s="3">
        <f t="shared" si="121"/>
        <v>0.21865889212827988</v>
      </c>
      <c r="O19" s="3">
        <f t="shared" si="121"/>
        <v>0.20632279534109818</v>
      </c>
      <c r="P19" s="3">
        <f t="shared" si="121"/>
        <v>6.1135371179039302E-3</v>
      </c>
      <c r="Q19" s="3">
        <f t="shared" ref="Q19" si="122">+Q10/Q9</f>
        <v>0.21</v>
      </c>
      <c r="T19" s="3">
        <f t="shared" ref="T19:U19" si="123">+T10/T9</f>
        <v>0.16313823163138233</v>
      </c>
      <c r="U19" s="3">
        <f t="shared" si="123"/>
        <v>0.36130306021717673</v>
      </c>
      <c r="V19" s="3">
        <f t="shared" ref="V19:W19" si="124">+V10/V9</f>
        <v>0.27493529763089786</v>
      </c>
      <c r="W19" s="3">
        <f t="shared" si="124"/>
        <v>-0.98734177215189878</v>
      </c>
      <c r="X19" s="3">
        <f t="shared" ref="X19:AC19" si="125">+X10/X9</f>
        <v>-0.23120260021668473</v>
      </c>
      <c r="Y19" s="3">
        <f t="shared" si="125"/>
        <v>0.15964912280701754</v>
      </c>
      <c r="Z19" s="3">
        <f t="shared" si="125"/>
        <v>0.15104989839692934</v>
      </c>
      <c r="AA19" s="3">
        <f t="shared" si="125"/>
        <v>0.20466786355475763</v>
      </c>
      <c r="AB19" s="3">
        <f t="shared" si="125"/>
        <v>0.15416344418664604</v>
      </c>
      <c r="AC19" s="3">
        <f t="shared" si="125"/>
        <v>0.18323632130384168</v>
      </c>
      <c r="AD19" s="3">
        <f>+AD10/AD9</f>
        <v>0.16077187701569554</v>
      </c>
      <c r="AE19" s="3">
        <f t="shared" ref="AD19:AT19" si="126">+AE10/AE9</f>
        <v>0.21</v>
      </c>
      <c r="AF19" s="3">
        <f t="shared" si="126"/>
        <v>0.21</v>
      </c>
      <c r="AG19" s="3">
        <f t="shared" si="126"/>
        <v>0.20999999999999996</v>
      </c>
      <c r="AH19" s="3">
        <f t="shared" si="126"/>
        <v>0.20999999999999996</v>
      </c>
      <c r="AI19" s="3">
        <f t="shared" si="126"/>
        <v>0.21</v>
      </c>
      <c r="AJ19" s="3">
        <f t="shared" si="126"/>
        <v>0.21</v>
      </c>
      <c r="AK19" s="3">
        <f t="shared" si="126"/>
        <v>0.20999999999999996</v>
      </c>
      <c r="AL19" s="3">
        <f t="shared" si="126"/>
        <v>0.21000000000000002</v>
      </c>
      <c r="AM19" s="3">
        <f t="shared" si="126"/>
        <v>0.21</v>
      </c>
      <c r="AN19" s="3">
        <f t="shared" si="126"/>
        <v>0.21</v>
      </c>
      <c r="AO19" s="3">
        <f t="shared" si="126"/>
        <v>0.20999999999999996</v>
      </c>
      <c r="AP19" s="3">
        <f t="shared" si="126"/>
        <v>0.21</v>
      </c>
      <c r="AQ19" s="3">
        <f t="shared" si="126"/>
        <v>0.21</v>
      </c>
      <c r="AR19" s="3">
        <f t="shared" si="126"/>
        <v>0.20999999999999996</v>
      </c>
      <c r="AS19" s="3">
        <f t="shared" si="126"/>
        <v>0.21</v>
      </c>
      <c r="AT19" s="3">
        <f t="shared" si="126"/>
        <v>0.20999999999999996</v>
      </c>
      <c r="AV19" s="3" t="s">
        <v>36</v>
      </c>
      <c r="AW19" s="1">
        <f>+Main!L6-Main!L7</f>
        <v>-18807</v>
      </c>
    </row>
    <row r="20" spans="1:49" s="3" customFormat="1" x14ac:dyDescent="0.2">
      <c r="AV20" s="3" t="s">
        <v>253</v>
      </c>
      <c r="AW20" s="1">
        <f>+AW18+AW19</f>
        <v>33502.45076969923</v>
      </c>
    </row>
    <row r="21" spans="1:49" s="5" customFormat="1" x14ac:dyDescent="0.2">
      <c r="A21" s="5" t="s">
        <v>14</v>
      </c>
      <c r="B21" s="5" t="e">
        <f>+B3/#REF!-1</f>
        <v>#REF!</v>
      </c>
      <c r="C21" s="5" t="e">
        <f>+C3/#REF!-1</f>
        <v>#REF!</v>
      </c>
      <c r="D21" s="5" t="e">
        <f>+D3/#REF!-1</f>
        <v>#REF!</v>
      </c>
      <c r="E21" s="5" t="e">
        <f>+E3/#REF!-1</f>
        <v>#REF!</v>
      </c>
      <c r="F21" s="5">
        <f t="shared" ref="F21:Q21" si="127">+F3/B3-1</f>
        <v>-5.4582421019706007E-2</v>
      </c>
      <c r="G21" s="5">
        <f t="shared" si="127"/>
        <v>-9.2214663643235273E-3</v>
      </c>
      <c r="H21" s="5">
        <f t="shared" si="127"/>
        <v>2.8779253636938673E-2</v>
      </c>
      <c r="I21" s="5">
        <f t="shared" si="127"/>
        <v>0.10001490535102109</v>
      </c>
      <c r="J21" s="5">
        <f t="shared" si="127"/>
        <v>7.3449131513647625E-2</v>
      </c>
      <c r="K21" s="5">
        <f t="shared" si="127"/>
        <v>2.5480622520598128E-2</v>
      </c>
      <c r="L21" s="5">
        <f t="shared" si="127"/>
        <v>9.8370734706425544E-3</v>
      </c>
      <c r="M21" s="5">
        <f t="shared" si="127"/>
        <v>-7.0460704607046121E-2</v>
      </c>
      <c r="N21" s="5">
        <f t="shared" si="127"/>
        <v>-1.2020342117429528E-2</v>
      </c>
      <c r="O21" s="5">
        <f t="shared" si="127"/>
        <v>-3.6452908793334293E-2</v>
      </c>
      <c r="P21" s="5">
        <f t="shared" si="127"/>
        <v>-2.846270928462713E-2</v>
      </c>
      <c r="Q21" s="5">
        <f t="shared" si="127"/>
        <v>-3.3236151603497355E-3</v>
      </c>
      <c r="U21" s="5">
        <f t="shared" ref="U21:AT21" si="128">+U3/T3-1</f>
        <v>0.67899652078373918</v>
      </c>
      <c r="V21" s="5">
        <f>+V3/U3-1</f>
        <v>0.4443777947431562</v>
      </c>
      <c r="W21" s="5">
        <f t="shared" si="128"/>
        <v>-9.6273643674255061E-3</v>
      </c>
      <c r="X21" s="5">
        <f t="shared" si="128"/>
        <v>1.3723696248857387E-3</v>
      </c>
      <c r="Y21" s="5">
        <f t="shared" si="128"/>
        <v>-4.9147251408557913E-2</v>
      </c>
      <c r="Z21" s="5">
        <f t="shared" si="128"/>
        <v>4.8364495335708746E-2</v>
      </c>
      <c r="AA21" s="5">
        <f t="shared" si="128"/>
        <v>-5.4611418751193685E-3</v>
      </c>
      <c r="AB21" s="5">
        <f t="shared" si="128"/>
        <v>1.7010982259427099E-2</v>
      </c>
      <c r="AC21" s="5">
        <f t="shared" si="128"/>
        <v>5.8523692656220483E-3</v>
      </c>
      <c r="AD21" s="5">
        <f t="shared" si="128"/>
        <v>-2.0000000000000018E-2</v>
      </c>
      <c r="AE21" s="5">
        <f t="shared" si="128"/>
        <v>0</v>
      </c>
      <c r="AF21" s="5">
        <f t="shared" si="128"/>
        <v>0</v>
      </c>
      <c r="AG21" s="5">
        <f t="shared" si="128"/>
        <v>0</v>
      </c>
      <c r="AH21" s="5">
        <f t="shared" si="128"/>
        <v>0</v>
      </c>
      <c r="AI21" s="5">
        <f t="shared" si="128"/>
        <v>0</v>
      </c>
      <c r="AJ21" s="5">
        <f t="shared" si="128"/>
        <v>0</v>
      </c>
      <c r="AK21" s="5">
        <f t="shared" si="128"/>
        <v>0</v>
      </c>
      <c r="AL21" s="5">
        <f t="shared" si="128"/>
        <v>0</v>
      </c>
      <c r="AM21" s="5">
        <f t="shared" si="128"/>
        <v>0</v>
      </c>
      <c r="AN21" s="5">
        <f t="shared" si="128"/>
        <v>0</v>
      </c>
      <c r="AO21" s="5">
        <f t="shared" si="128"/>
        <v>0</v>
      </c>
      <c r="AP21" s="5">
        <f t="shared" si="128"/>
        <v>0</v>
      </c>
      <c r="AQ21" s="5">
        <f t="shared" si="128"/>
        <v>0</v>
      </c>
      <c r="AR21" s="5">
        <f t="shared" si="128"/>
        <v>0</v>
      </c>
      <c r="AS21" s="5">
        <f t="shared" si="128"/>
        <v>0</v>
      </c>
      <c r="AT21" s="5">
        <f t="shared" si="128"/>
        <v>0</v>
      </c>
      <c r="AV21" s="3" t="s">
        <v>31</v>
      </c>
      <c r="AW21" s="4">
        <f>+AW20/Main!L4</f>
        <v>27.706869317201711</v>
      </c>
    </row>
    <row r="22" spans="1:49" x14ac:dyDescent="0.2">
      <c r="P22" s="3"/>
      <c r="AC22" s="3">
        <f>+AD8/AC23</f>
        <v>4.447705641516457E-2</v>
      </c>
      <c r="AV22" s="1" t="s">
        <v>254</v>
      </c>
      <c r="AW22" s="4">
        <f>+Main!L3</f>
        <v>29.27</v>
      </c>
    </row>
    <row r="23" spans="1:49" x14ac:dyDescent="0.2">
      <c r="A23" s="1" t="s">
        <v>36</v>
      </c>
      <c r="M23" s="1">
        <f>+M24-M34</f>
        <v>-18632</v>
      </c>
      <c r="N23" s="1">
        <f>+N24-N34</f>
        <v>-18919</v>
      </c>
      <c r="O23" s="1">
        <f>+O24-O34</f>
        <v>-19034</v>
      </c>
      <c r="P23" s="1">
        <f>+P24-P34</f>
        <v>-18807</v>
      </c>
      <c r="AC23" s="1">
        <f>+P23</f>
        <v>-18807</v>
      </c>
      <c r="AD23" s="1">
        <f>+AC23+AD86</f>
        <v>-15695.85</v>
      </c>
      <c r="AE23" s="1">
        <f t="shared" ref="AE23:AT23" si="129">+AD23+AE86</f>
        <v>-12429.1425</v>
      </c>
      <c r="AF23" s="1">
        <f t="shared" si="129"/>
        <v>-8999.0996249999989</v>
      </c>
      <c r="AG23" s="1">
        <f t="shared" si="129"/>
        <v>-5397.554606249998</v>
      </c>
      <c r="AH23" s="1">
        <f t="shared" si="129"/>
        <v>-1615.9323365624973</v>
      </c>
      <c r="AI23" s="1">
        <f t="shared" si="129"/>
        <v>2354.7710466093786</v>
      </c>
      <c r="AJ23" s="1">
        <f t="shared" si="129"/>
        <v>6524.0095989398487</v>
      </c>
      <c r="AK23" s="1">
        <f t="shared" si="129"/>
        <v>10901.710078886843</v>
      </c>
      <c r="AL23" s="1">
        <f t="shared" si="129"/>
        <v>15498.295582831186</v>
      </c>
      <c r="AM23" s="1">
        <f t="shared" si="129"/>
        <v>20324.71036197275</v>
      </c>
      <c r="AN23" s="1">
        <f t="shared" si="129"/>
        <v>25392.445880071391</v>
      </c>
      <c r="AO23" s="1">
        <f t="shared" si="129"/>
        <v>30713.568174074964</v>
      </c>
      <c r="AP23" s="1">
        <f t="shared" si="129"/>
        <v>36300.746582778716</v>
      </c>
      <c r="AQ23" s="1">
        <f t="shared" si="129"/>
        <v>42167.283911917657</v>
      </c>
      <c r="AR23" s="1">
        <f t="shared" si="129"/>
        <v>48327.148107513545</v>
      </c>
      <c r="AS23" s="1">
        <f t="shared" si="129"/>
        <v>54795.005512889227</v>
      </c>
      <c r="AT23" s="1">
        <f t="shared" si="129"/>
        <v>61586.255788533694</v>
      </c>
      <c r="AV23" s="1" t="s">
        <v>263</v>
      </c>
      <c r="AW23" s="3">
        <f>+AW21/AW22-1</f>
        <v>-5.3403849771038181E-2</v>
      </c>
    </row>
    <row r="24" spans="1:49" x14ac:dyDescent="0.2">
      <c r="A24" s="1" t="s">
        <v>33</v>
      </c>
      <c r="M24" s="1">
        <v>1400</v>
      </c>
      <c r="N24" s="1">
        <v>1626</v>
      </c>
      <c r="O24" s="1">
        <v>900</v>
      </c>
      <c r="P24" s="1">
        <v>1284</v>
      </c>
    </row>
    <row r="25" spans="1:49" x14ac:dyDescent="0.2">
      <c r="A25" s="1" t="s">
        <v>37</v>
      </c>
      <c r="M25" s="1">
        <v>2112</v>
      </c>
      <c r="N25" s="1">
        <v>2216</v>
      </c>
      <c r="O25" s="1">
        <v>2160</v>
      </c>
      <c r="P25" s="1">
        <v>2178</v>
      </c>
    </row>
    <row r="26" spans="1:49" x14ac:dyDescent="0.2">
      <c r="A26" s="1" t="s">
        <v>38</v>
      </c>
      <c r="M26" s="1">
        <v>3614</v>
      </c>
      <c r="N26" s="1">
        <v>3578</v>
      </c>
      <c r="O26" s="1">
        <v>3573</v>
      </c>
      <c r="P26" s="1">
        <v>3872</v>
      </c>
    </row>
    <row r="27" spans="1:49" x14ac:dyDescent="0.2">
      <c r="A27" s="1" t="s">
        <v>39</v>
      </c>
      <c r="M27" s="1">
        <v>234</v>
      </c>
      <c r="N27" s="1">
        <v>292</v>
      </c>
      <c r="O27" s="1">
        <v>273</v>
      </c>
      <c r="P27" s="1">
        <v>228</v>
      </c>
    </row>
    <row r="28" spans="1:49" x14ac:dyDescent="0.2">
      <c r="A28" s="1" t="s">
        <v>40</v>
      </c>
      <c r="M28" s="1">
        <v>566</v>
      </c>
      <c r="N28" s="1">
        <v>521</v>
      </c>
      <c r="O28" s="1">
        <v>624</v>
      </c>
      <c r="P28" s="1">
        <v>633</v>
      </c>
    </row>
    <row r="29" spans="1:49" x14ac:dyDescent="0.2">
      <c r="A29" s="1" t="s">
        <v>41</v>
      </c>
      <c r="M29" s="1">
        <v>3</v>
      </c>
      <c r="N29" s="1">
        <v>0</v>
      </c>
      <c r="O29" s="1">
        <v>0</v>
      </c>
      <c r="P29" s="1">
        <v>7</v>
      </c>
    </row>
    <row r="30" spans="1:49" x14ac:dyDescent="0.2">
      <c r="A30" s="1" t="s">
        <v>42</v>
      </c>
      <c r="M30" s="1">
        <v>7122</v>
      </c>
      <c r="N30" s="1">
        <v>7036</v>
      </c>
      <c r="O30" s="1">
        <v>7038</v>
      </c>
      <c r="P30" s="1">
        <v>7137</v>
      </c>
    </row>
    <row r="31" spans="1:49" x14ac:dyDescent="0.2">
      <c r="A31" s="1" t="s">
        <v>43</v>
      </c>
      <c r="M31" s="1">
        <f>30459+42448</f>
        <v>72907</v>
      </c>
      <c r="N31" s="1">
        <f>30390+42296</f>
        <v>72686</v>
      </c>
      <c r="O31" s="1">
        <f>29501+42347</f>
        <v>71848</v>
      </c>
      <c r="P31" s="1">
        <f>28946+41802</f>
        <v>70748</v>
      </c>
    </row>
    <row r="32" spans="1:49" x14ac:dyDescent="0.2">
      <c r="A32" s="1" t="s">
        <v>57</v>
      </c>
      <c r="M32" s="1">
        <v>2381</v>
      </c>
      <c r="N32" s="1">
        <v>2354</v>
      </c>
      <c r="O32" s="1">
        <v>2381</v>
      </c>
      <c r="P32" s="1">
        <v>2479</v>
      </c>
      <c r="AV32" s="6"/>
      <c r="AW32" s="6"/>
    </row>
    <row r="33" spans="1:49" s="6" customFormat="1" x14ac:dyDescent="0.2">
      <c r="A33" s="6" t="s">
        <v>45</v>
      </c>
      <c r="M33" s="6">
        <f>+SUM(M24:M32)</f>
        <v>90339</v>
      </c>
      <c r="N33" s="6">
        <f>+SUM(N24:N32)</f>
        <v>90309</v>
      </c>
      <c r="O33" s="6">
        <f>+SUM(O24:O32)</f>
        <v>88797</v>
      </c>
      <c r="P33" s="6">
        <f>+SUM(P24:P32)</f>
        <v>88566</v>
      </c>
      <c r="AV33" s="1"/>
      <c r="AW33" s="1"/>
    </row>
    <row r="34" spans="1:49" x14ac:dyDescent="0.2">
      <c r="A34" s="1" t="s">
        <v>34</v>
      </c>
      <c r="M34" s="1">
        <f>638+19394</f>
        <v>20032</v>
      </c>
      <c r="N34" s="1">
        <f>622+19923</f>
        <v>20545</v>
      </c>
      <c r="O34" s="1">
        <f>669+19265</f>
        <v>19934</v>
      </c>
      <c r="P34" s="1">
        <f>13+695+19383</f>
        <v>20091</v>
      </c>
    </row>
    <row r="35" spans="1:49" x14ac:dyDescent="0.2">
      <c r="A35" s="1" t="s">
        <v>46</v>
      </c>
      <c r="M35" s="1">
        <v>4627</v>
      </c>
      <c r="N35" s="1">
        <v>4421</v>
      </c>
      <c r="O35" s="1">
        <v>4448</v>
      </c>
      <c r="P35" s="1">
        <v>4553</v>
      </c>
    </row>
    <row r="36" spans="1:49" x14ac:dyDescent="0.2">
      <c r="A36" s="1" t="s">
        <v>53</v>
      </c>
      <c r="M36" s="1">
        <v>733</v>
      </c>
      <c r="N36" s="1">
        <v>749</v>
      </c>
      <c r="O36" s="1">
        <v>724</v>
      </c>
      <c r="P36" s="1">
        <v>752</v>
      </c>
    </row>
    <row r="37" spans="1:49" x14ac:dyDescent="0.2">
      <c r="A37" s="1" t="s">
        <v>54</v>
      </c>
      <c r="M37" s="1">
        <v>258</v>
      </c>
      <c r="N37" s="1">
        <v>304</v>
      </c>
      <c r="O37" s="1">
        <v>260</v>
      </c>
      <c r="P37" s="1">
        <v>273</v>
      </c>
    </row>
    <row r="38" spans="1:49" x14ac:dyDescent="0.2">
      <c r="A38" s="1" t="s">
        <v>47</v>
      </c>
      <c r="M38" s="1">
        <v>1781</v>
      </c>
      <c r="N38" s="1">
        <v>1475</v>
      </c>
      <c r="O38" s="1">
        <v>1385</v>
      </c>
      <c r="P38" s="1">
        <v>1442</v>
      </c>
    </row>
    <row r="39" spans="1:49" x14ac:dyDescent="0.2">
      <c r="A39" s="1" t="s">
        <v>48</v>
      </c>
      <c r="M39" s="1">
        <v>10201</v>
      </c>
      <c r="N39" s="1">
        <v>10220</v>
      </c>
      <c r="O39" s="1">
        <v>10173</v>
      </c>
      <c r="P39" s="1">
        <v>10023</v>
      </c>
    </row>
    <row r="40" spans="1:49" x14ac:dyDescent="0.2">
      <c r="A40" s="1" t="s">
        <v>55</v>
      </c>
      <c r="M40" s="1">
        <v>143</v>
      </c>
      <c r="N40" s="1">
        <v>140</v>
      </c>
      <c r="O40" s="1">
        <v>137</v>
      </c>
      <c r="P40" s="1">
        <v>140</v>
      </c>
    </row>
    <row r="41" spans="1:49" x14ac:dyDescent="0.2">
      <c r="A41" s="1" t="s">
        <v>49</v>
      </c>
      <c r="M41" s="1">
        <v>1424</v>
      </c>
      <c r="N41" s="1">
        <v>1414</v>
      </c>
      <c r="O41" s="1">
        <v>1400</v>
      </c>
      <c r="P41" s="1">
        <v>1386</v>
      </c>
    </row>
    <row r="42" spans="1:49" x14ac:dyDescent="0.2">
      <c r="A42" s="1" t="s">
        <v>56</v>
      </c>
      <c r="M42" s="1">
        <v>1418</v>
      </c>
      <c r="N42" s="1">
        <v>1353</v>
      </c>
      <c r="O42" s="1">
        <v>1305</v>
      </c>
      <c r="P42" s="1">
        <v>1437</v>
      </c>
      <c r="AV42" s="6"/>
      <c r="AW42" s="6"/>
    </row>
    <row r="43" spans="1:49" s="6" customFormat="1" x14ac:dyDescent="0.2">
      <c r="A43" s="6" t="s">
        <v>50</v>
      </c>
      <c r="M43" s="6">
        <f>+SUM(M34:M42)</f>
        <v>40617</v>
      </c>
      <c r="N43" s="6">
        <f>+SUM(N34:N42)</f>
        <v>40621</v>
      </c>
      <c r="O43" s="6">
        <f>+SUM(O34:O42)</f>
        <v>39766</v>
      </c>
      <c r="P43" s="6">
        <f>+SUM(P34:P42)</f>
        <v>40097</v>
      </c>
      <c r="AV43" s="1"/>
      <c r="AW43" s="1"/>
    </row>
    <row r="44" spans="1:49" x14ac:dyDescent="0.2">
      <c r="A44" s="1" t="s">
        <v>246</v>
      </c>
      <c r="M44" s="1">
        <v>34</v>
      </c>
      <c r="N44" s="1">
        <v>35</v>
      </c>
      <c r="O44" s="1">
        <v>10</v>
      </c>
      <c r="P44" s="1">
        <v>6</v>
      </c>
    </row>
    <row r="45" spans="1:49" x14ac:dyDescent="0.2">
      <c r="A45" s="1" t="s">
        <v>51</v>
      </c>
      <c r="M45" s="1">
        <v>49688</v>
      </c>
      <c r="N45" s="1">
        <v>49653</v>
      </c>
      <c r="O45" s="1">
        <v>49021</v>
      </c>
      <c r="P45" s="1">
        <v>48463</v>
      </c>
    </row>
    <row r="46" spans="1:49" x14ac:dyDescent="0.2">
      <c r="A46" s="1" t="s">
        <v>52</v>
      </c>
      <c r="M46" s="1">
        <f>+M45+M44+M43</f>
        <v>90339</v>
      </c>
      <c r="N46" s="1">
        <f>+N45+N44+N43</f>
        <v>90309</v>
      </c>
      <c r="O46" s="1">
        <f>+O45+O44+O43</f>
        <v>88797</v>
      </c>
      <c r="P46" s="1">
        <f>+P45+P44+P43</f>
        <v>88566</v>
      </c>
    </row>
    <row r="48" spans="1:49" x14ac:dyDescent="0.2">
      <c r="A48" s="1" t="s">
        <v>58</v>
      </c>
      <c r="M48" s="1">
        <f>+SUM(J11:M11)</f>
        <v>2330</v>
      </c>
      <c r="N48" s="1">
        <f>+SUM(K11:N11)</f>
        <v>2297</v>
      </c>
      <c r="O48" s="1">
        <f>+SUM(L11:O11)</f>
        <v>2253</v>
      </c>
      <c r="P48" s="1">
        <f>+SUM(M11:P11)</f>
        <v>2475</v>
      </c>
      <c r="AV48" s="3"/>
      <c r="AW48" s="3"/>
    </row>
    <row r="49" spans="1:49" s="3" customFormat="1" x14ac:dyDescent="0.2">
      <c r="A49" s="3" t="s">
        <v>59</v>
      </c>
      <c r="M49" s="3">
        <f>+M48/(M25+M26+M27+M28+M30+M32)</f>
        <v>0.14536153222284609</v>
      </c>
      <c r="N49" s="3">
        <f>+N48/(N25+N26+N27+N28+N30+N32)</f>
        <v>0.14358942301681565</v>
      </c>
      <c r="O49" s="3">
        <f>+O48/(O25+O26+O27+O28+O30+O32)</f>
        <v>0.1403825783537915</v>
      </c>
      <c r="P49" s="3">
        <f>+P48/(P25+P26+P27+P28+P30+P32)</f>
        <v>0.14975494645126158</v>
      </c>
      <c r="AV49" s="1"/>
      <c r="AW49" s="1"/>
    </row>
    <row r="51" spans="1:49" x14ac:dyDescent="0.2">
      <c r="A51" s="1" t="s">
        <v>60</v>
      </c>
      <c r="N51" s="1">
        <f>+N11</f>
        <v>804</v>
      </c>
      <c r="O51" s="1">
        <f>+O11</f>
        <v>954</v>
      </c>
      <c r="P51" s="1">
        <f>+P11</f>
        <v>1138</v>
      </c>
    </row>
    <row r="52" spans="1:49" x14ac:dyDescent="0.2">
      <c r="A52" s="1" t="s">
        <v>61</v>
      </c>
      <c r="N52" s="1">
        <v>804</v>
      </c>
      <c r="O52" s="1">
        <f>904-N52</f>
        <v>100</v>
      </c>
      <c r="P52" s="1">
        <f>614-SUM(N52:O52)</f>
        <v>-290</v>
      </c>
    </row>
    <row r="53" spans="1:49" x14ac:dyDescent="0.2">
      <c r="A53" s="1" t="s">
        <v>62</v>
      </c>
      <c r="N53" s="1">
        <v>230</v>
      </c>
      <c r="O53" s="1">
        <f>469-N53</f>
        <v>239</v>
      </c>
      <c r="P53" s="1">
        <f>714-SUM(N53:O53)</f>
        <v>245</v>
      </c>
    </row>
    <row r="54" spans="1:49" x14ac:dyDescent="0.2">
      <c r="A54" s="1" t="s">
        <v>65</v>
      </c>
      <c r="N54" s="1">
        <v>-3</v>
      </c>
      <c r="O54" s="1">
        <f>-4-N54</f>
        <v>-1</v>
      </c>
      <c r="P54" s="1">
        <f>-6-SUM(N54:O54)</f>
        <v>-2</v>
      </c>
    </row>
    <row r="55" spans="1:49" x14ac:dyDescent="0.2">
      <c r="A55" s="1" t="s">
        <v>63</v>
      </c>
      <c r="N55" s="1">
        <v>-14</v>
      </c>
      <c r="O55" s="1">
        <f>-27-N55</f>
        <v>-13</v>
      </c>
      <c r="P55" s="1">
        <f>-41-SUM(N55:O55)</f>
        <v>-14</v>
      </c>
    </row>
    <row r="56" spans="1:49" x14ac:dyDescent="0.2">
      <c r="A56" s="1" t="s">
        <v>64</v>
      </c>
      <c r="N56" s="1">
        <v>31</v>
      </c>
      <c r="O56" s="1">
        <f>65-N56</f>
        <v>34</v>
      </c>
      <c r="P56" s="1">
        <f>83-SUM(N56:O56)</f>
        <v>18</v>
      </c>
    </row>
    <row r="57" spans="1:49" x14ac:dyDescent="0.2">
      <c r="A57" s="1" t="s">
        <v>48</v>
      </c>
      <c r="N57" s="1">
        <v>1</v>
      </c>
      <c r="O57" s="1">
        <f>-48-N57</f>
        <v>-49</v>
      </c>
      <c r="P57" s="1">
        <f>-277-SUM(N57:O57)</f>
        <v>-229</v>
      </c>
    </row>
    <row r="58" spans="1:49" x14ac:dyDescent="0.2">
      <c r="A58" s="1" t="s">
        <v>66</v>
      </c>
      <c r="N58" s="1">
        <v>-5</v>
      </c>
      <c r="O58" s="1">
        <f>-9-N58</f>
        <v>-4</v>
      </c>
      <c r="P58" s="1">
        <f>16-SUM(N58:O58)</f>
        <v>25</v>
      </c>
    </row>
    <row r="59" spans="1:49" x14ac:dyDescent="0.2">
      <c r="A59" s="1" t="s">
        <v>247</v>
      </c>
      <c r="N59" s="1">
        <v>0</v>
      </c>
      <c r="O59" s="1">
        <f>854-N59</f>
        <v>854</v>
      </c>
      <c r="P59" s="1">
        <f>2282-SUM(N59:O59)</f>
        <v>1428</v>
      </c>
    </row>
    <row r="60" spans="1:49" x14ac:dyDescent="0.2">
      <c r="A60" s="1" t="s">
        <v>67</v>
      </c>
      <c r="N60" s="1">
        <v>3</v>
      </c>
      <c r="O60" s="1">
        <f>4-N60</f>
        <v>1</v>
      </c>
      <c r="P60" s="1">
        <f>7-SUM(N60:O60)</f>
        <v>3</v>
      </c>
    </row>
    <row r="61" spans="1:49" x14ac:dyDescent="0.2">
      <c r="A61" s="1" t="s">
        <v>68</v>
      </c>
      <c r="N61" s="1">
        <v>80</v>
      </c>
      <c r="O61" s="1">
        <f>79-N61</f>
        <v>-1</v>
      </c>
      <c r="P61" s="1">
        <f>78-SUM(N61:O61)</f>
        <v>-1</v>
      </c>
    </row>
    <row r="62" spans="1:49" x14ac:dyDescent="0.2">
      <c r="A62" s="1" t="s">
        <v>44</v>
      </c>
      <c r="N62" s="1">
        <v>-14</v>
      </c>
      <c r="O62" s="1">
        <f>-56-N62</f>
        <v>-42</v>
      </c>
      <c r="P62" s="1">
        <f>-39-SUM(N62:O62)</f>
        <v>17</v>
      </c>
    </row>
    <row r="63" spans="1:49" x14ac:dyDescent="0.2">
      <c r="A63" s="1" t="s">
        <v>37</v>
      </c>
      <c r="N63" s="1">
        <v>-145</v>
      </c>
      <c r="O63" s="1">
        <f>-113-N63</f>
        <v>32</v>
      </c>
      <c r="P63" s="1">
        <f>-83-SUM(N63:O63)</f>
        <v>30</v>
      </c>
    </row>
    <row r="64" spans="1:49" x14ac:dyDescent="0.2">
      <c r="A64" s="1" t="s">
        <v>69</v>
      </c>
      <c r="N64" s="1">
        <v>-56</v>
      </c>
      <c r="O64" s="1">
        <f>-101-N64</f>
        <v>-45</v>
      </c>
      <c r="P64" s="1">
        <f>-392-SUM(N64:O64)</f>
        <v>-291</v>
      </c>
    </row>
    <row r="65" spans="1:49" x14ac:dyDescent="0.2">
      <c r="A65" s="1" t="s">
        <v>46</v>
      </c>
      <c r="N65" s="1">
        <v>-49</v>
      </c>
      <c r="O65" s="1">
        <f>-40-N65</f>
        <v>9</v>
      </c>
      <c r="P65" s="1">
        <f>48-SUM(N65:O65)</f>
        <v>88</v>
      </c>
    </row>
    <row r="66" spans="1:49" x14ac:dyDescent="0.2">
      <c r="A66" s="1" t="s">
        <v>70</v>
      </c>
      <c r="N66" s="1">
        <v>-32</v>
      </c>
      <c r="O66" s="1">
        <f>-114-N66</f>
        <v>-82</v>
      </c>
      <c r="P66" s="1">
        <f>-129-SUM(N66:O66)</f>
        <v>-15</v>
      </c>
    </row>
    <row r="67" spans="1:49" x14ac:dyDescent="0.2">
      <c r="A67" s="1" t="s">
        <v>71</v>
      </c>
      <c r="N67" s="1">
        <v>-60</v>
      </c>
      <c r="O67" s="1">
        <f>-150-N67</f>
        <v>-90</v>
      </c>
      <c r="P67" s="1">
        <f>-79-SUM(N67:O67)</f>
        <v>71</v>
      </c>
    </row>
    <row r="68" spans="1:49" x14ac:dyDescent="0.2">
      <c r="A68" s="1" t="s">
        <v>249</v>
      </c>
      <c r="N68" s="1">
        <f>+SUM(N63:N67)</f>
        <v>-342</v>
      </c>
      <c r="O68" s="1">
        <f>+SUM(O63:O67)</f>
        <v>-176</v>
      </c>
      <c r="P68" s="1">
        <f>+SUM(P63:P67)</f>
        <v>-117</v>
      </c>
      <c r="AV68" s="6"/>
      <c r="AW68" s="6"/>
    </row>
    <row r="69" spans="1:49" s="6" customFormat="1" x14ac:dyDescent="0.2">
      <c r="A69" s="6" t="s">
        <v>72</v>
      </c>
      <c r="N69" s="6">
        <f>+SUM(N52:N67)</f>
        <v>771</v>
      </c>
      <c r="O69" s="6">
        <f>+SUM(O52:O67)</f>
        <v>942</v>
      </c>
      <c r="P69" s="6">
        <f>+SUM(P52:P67)</f>
        <v>1083</v>
      </c>
      <c r="T69" s="6">
        <v>2140</v>
      </c>
      <c r="U69" s="6">
        <v>1272</v>
      </c>
      <c r="V69" s="6">
        <v>2649</v>
      </c>
      <c r="W69" s="6">
        <v>527</v>
      </c>
      <c r="X69" s="6">
        <v>2574</v>
      </c>
      <c r="Y69" s="6">
        <v>3552</v>
      </c>
      <c r="Z69" s="6">
        <v>4929</v>
      </c>
      <c r="AA69" s="6">
        <v>5364</v>
      </c>
      <c r="AB69" s="6">
        <v>2469</v>
      </c>
      <c r="AC69" s="6">
        <v>3976</v>
      </c>
      <c r="AV69" s="1"/>
      <c r="AW69" s="1"/>
    </row>
    <row r="71" spans="1:49" x14ac:dyDescent="0.2">
      <c r="A71" s="1" t="s">
        <v>73</v>
      </c>
      <c r="N71" s="1">
        <v>-294</v>
      </c>
      <c r="O71" s="1">
        <f>-543-N71</f>
        <v>-249</v>
      </c>
      <c r="P71" s="1">
        <f>-777-SUM(N71:O71)</f>
        <v>-234</v>
      </c>
      <c r="T71" s="1">
        <v>-399</v>
      </c>
      <c r="U71" s="1">
        <v>-648</v>
      </c>
      <c r="V71" s="1">
        <v>-1247</v>
      </c>
      <c r="W71" s="1">
        <v>-1217</v>
      </c>
      <c r="X71" s="1">
        <v>-826</v>
      </c>
      <c r="Y71" s="1">
        <v>-768</v>
      </c>
      <c r="Z71" s="1">
        <v>-596</v>
      </c>
      <c r="AA71" s="1">
        <v>-905</v>
      </c>
      <c r="AB71" s="1">
        <v>-916</v>
      </c>
      <c r="AC71" s="1">
        <v>-1013</v>
      </c>
    </row>
    <row r="72" spans="1:49" x14ac:dyDescent="0.2">
      <c r="A72" s="1" t="s">
        <v>74</v>
      </c>
      <c r="N72" s="1">
        <v>-3</v>
      </c>
      <c r="O72" s="1">
        <f>3-N72</f>
        <v>6</v>
      </c>
      <c r="P72" s="1">
        <f>5-SUM(N72:O72)</f>
        <v>2</v>
      </c>
    </row>
    <row r="73" spans="1:49" x14ac:dyDescent="0.2">
      <c r="A73" s="1" t="s">
        <v>248</v>
      </c>
      <c r="N73" s="1">
        <v>0</v>
      </c>
      <c r="O73" s="1">
        <f>-140-N73</f>
        <v>-140</v>
      </c>
      <c r="P73" s="1">
        <f>-140-SUM(N73:O73)</f>
        <v>0</v>
      </c>
    </row>
    <row r="74" spans="1:49" x14ac:dyDescent="0.2">
      <c r="A74" s="1" t="s">
        <v>44</v>
      </c>
      <c r="N74" s="1">
        <v>10</v>
      </c>
      <c r="O74" s="1">
        <f>48-N74</f>
        <v>38</v>
      </c>
      <c r="P74" s="1">
        <f>63-SUM(N74:O74)</f>
        <v>15</v>
      </c>
    </row>
    <row r="75" spans="1:49" x14ac:dyDescent="0.2">
      <c r="A75" s="1" t="s">
        <v>75</v>
      </c>
      <c r="N75" s="1">
        <f>+SUM(N71:N74)</f>
        <v>-287</v>
      </c>
      <c r="O75" s="1">
        <f>+SUM(O71:O74)</f>
        <v>-345</v>
      </c>
      <c r="P75" s="1">
        <f>+SUM(P71:P74)</f>
        <v>-217</v>
      </c>
    </row>
    <row r="77" spans="1:49" x14ac:dyDescent="0.2">
      <c r="A77" s="1" t="s">
        <v>34</v>
      </c>
      <c r="N77" s="1">
        <f>-1+593</f>
        <v>592</v>
      </c>
      <c r="O77" s="1">
        <f>-606+593-N77</f>
        <v>-605</v>
      </c>
      <c r="P77" s="1">
        <f>-607+594-SUM(N77:O77)</f>
        <v>0</v>
      </c>
    </row>
    <row r="78" spans="1:49" x14ac:dyDescent="0.2">
      <c r="A78" s="1" t="s">
        <v>76</v>
      </c>
      <c r="N78" s="1">
        <v>-486</v>
      </c>
      <c r="O78" s="1">
        <f>-969-N78</f>
        <v>-483</v>
      </c>
      <c r="P78" s="1">
        <f>-1452-SUM(N78:O78)</f>
        <v>-483</v>
      </c>
      <c r="U78" s="1">
        <v>-1302</v>
      </c>
      <c r="V78" s="1">
        <v>-3584</v>
      </c>
      <c r="W78" s="1">
        <v>-2888</v>
      </c>
      <c r="X78" s="1">
        <v>-3183</v>
      </c>
      <c r="Y78" s="1">
        <v>-1953</v>
      </c>
      <c r="Z78" s="1">
        <v>-1958</v>
      </c>
      <c r="AA78" s="1">
        <v>-1959</v>
      </c>
      <c r="AB78" s="1">
        <v>-1960</v>
      </c>
      <c r="AC78" s="1">
        <v>-1965</v>
      </c>
    </row>
    <row r="79" spans="1:49" x14ac:dyDescent="0.2">
      <c r="A79" s="1" t="s">
        <v>77</v>
      </c>
      <c r="N79" s="1">
        <v>-329</v>
      </c>
      <c r="O79" s="1">
        <f>-537-N79</f>
        <v>-208</v>
      </c>
      <c r="P79" s="1">
        <f>-538-SUM(N79:O79)</f>
        <v>-1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-271</v>
      </c>
      <c r="AB79" s="1">
        <v>-280</v>
      </c>
      <c r="AC79" s="1">
        <v>-455</v>
      </c>
    </row>
    <row r="80" spans="1:49" x14ac:dyDescent="0.2">
      <c r="A80" s="1" t="s">
        <v>44</v>
      </c>
      <c r="N80" s="1">
        <v>-16</v>
      </c>
      <c r="O80" s="1">
        <f>-46-N80</f>
        <v>-30</v>
      </c>
      <c r="P80" s="1">
        <f>-43-SUM(N80:O80)</f>
        <v>3</v>
      </c>
    </row>
    <row r="81" spans="1:46" x14ac:dyDescent="0.2">
      <c r="A81" s="1" t="s">
        <v>78</v>
      </c>
      <c r="N81" s="1">
        <f>+SUM(N77:N80)</f>
        <v>-239</v>
      </c>
      <c r="O81" s="1">
        <f>+SUM(O77:O80)</f>
        <v>-1326</v>
      </c>
      <c r="P81" s="1">
        <f>+SUM(P77:P80)</f>
        <v>-481</v>
      </c>
    </row>
    <row r="83" spans="1:46" x14ac:dyDescent="0.2">
      <c r="A83" s="1" t="s">
        <v>67</v>
      </c>
      <c r="N83" s="1">
        <v>-21</v>
      </c>
      <c r="O83" s="1">
        <f>-18-N83</f>
        <v>3</v>
      </c>
      <c r="P83" s="1">
        <f>-17-SUM(N83:O83)</f>
        <v>1</v>
      </c>
    </row>
    <row r="84" spans="1:46" x14ac:dyDescent="0.2">
      <c r="A84" s="1" t="s">
        <v>79</v>
      </c>
      <c r="N84" s="1">
        <f>+N69+N75+N81+N83</f>
        <v>224</v>
      </c>
      <c r="O84" s="1">
        <f>+O69+O75+O81+O83</f>
        <v>-726</v>
      </c>
      <c r="P84" s="1">
        <f>+P69+P75+P81+P83</f>
        <v>386</v>
      </c>
    </row>
    <row r="86" spans="1:46" x14ac:dyDescent="0.2">
      <c r="A86" s="1" t="s">
        <v>80</v>
      </c>
      <c r="L86" s="3"/>
      <c r="N86" s="1">
        <f>+N69+N71</f>
        <v>477</v>
      </c>
      <c r="O86" s="1">
        <f>+O69+O71</f>
        <v>693</v>
      </c>
      <c r="P86" s="1">
        <f>+P69+P71</f>
        <v>849</v>
      </c>
      <c r="Q86" s="1">
        <f>+P86*1.21</f>
        <v>1027.29</v>
      </c>
      <c r="R86" s="3">
        <f>+(AC86/T86)^(1/$S$86)-1</f>
        <v>5.4613406863103897E-2</v>
      </c>
      <c r="S86" s="1">
        <v>10</v>
      </c>
      <c r="T86" s="1">
        <f t="shared" ref="T86:AB86" si="130">+T69+T71</f>
        <v>1741</v>
      </c>
      <c r="U86" s="1">
        <f t="shared" si="130"/>
        <v>624</v>
      </c>
      <c r="V86" s="1">
        <f t="shared" si="130"/>
        <v>1402</v>
      </c>
      <c r="W86" s="1">
        <f t="shared" si="130"/>
        <v>-690</v>
      </c>
      <c r="X86" s="1">
        <f t="shared" si="130"/>
        <v>1748</v>
      </c>
      <c r="Y86" s="1">
        <f t="shared" si="130"/>
        <v>2784</v>
      </c>
      <c r="Z86" s="1">
        <f t="shared" si="130"/>
        <v>4333</v>
      </c>
      <c r="AA86" s="1">
        <f t="shared" si="130"/>
        <v>4459</v>
      </c>
      <c r="AB86" s="1">
        <f t="shared" si="130"/>
        <v>1553</v>
      </c>
      <c r="AC86" s="1">
        <f>+AC69+AC71</f>
        <v>2963</v>
      </c>
      <c r="AD86" s="1">
        <f>+AC86*1.05</f>
        <v>3111.15</v>
      </c>
      <c r="AE86" s="1">
        <f t="shared" ref="AE86:AT86" si="131">+AD86*1.05</f>
        <v>3266.7075000000004</v>
      </c>
      <c r="AF86" s="1">
        <f t="shared" si="131"/>
        <v>3430.0428750000005</v>
      </c>
      <c r="AG86" s="1">
        <f t="shared" si="131"/>
        <v>3601.5450187500005</v>
      </c>
      <c r="AH86" s="1">
        <f t="shared" si="131"/>
        <v>3781.6222696875006</v>
      </c>
      <c r="AI86" s="1">
        <f t="shared" si="131"/>
        <v>3970.7033831718759</v>
      </c>
      <c r="AJ86" s="1">
        <f t="shared" si="131"/>
        <v>4169.2385523304702</v>
      </c>
      <c r="AK86" s="1">
        <f t="shared" si="131"/>
        <v>4377.7004799469942</v>
      </c>
      <c r="AL86" s="1">
        <f t="shared" si="131"/>
        <v>4596.5855039443441</v>
      </c>
      <c r="AM86" s="1">
        <f t="shared" si="131"/>
        <v>4826.4147791415617</v>
      </c>
      <c r="AN86" s="1">
        <f t="shared" si="131"/>
        <v>5067.7355180986397</v>
      </c>
      <c r="AO86" s="1">
        <f t="shared" si="131"/>
        <v>5321.1222940035723</v>
      </c>
      <c r="AP86" s="1">
        <f t="shared" si="131"/>
        <v>5587.1784087037513</v>
      </c>
      <c r="AQ86" s="1">
        <f t="shared" si="131"/>
        <v>5866.5373291389387</v>
      </c>
      <c r="AR86" s="1">
        <f t="shared" si="131"/>
        <v>6159.8641955958856</v>
      </c>
      <c r="AS86" s="1">
        <f t="shared" si="131"/>
        <v>6467.8574053756802</v>
      </c>
      <c r="AT86" s="1">
        <f t="shared" si="131"/>
        <v>6791.2502756444646</v>
      </c>
    </row>
    <row r="87" spans="1:46" x14ac:dyDescent="0.2">
      <c r="A87" s="1" t="s">
        <v>81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088F-7D59-48C4-A984-CC6402512507}">
  <dimension ref="B2:G34"/>
  <sheetViews>
    <sheetView workbookViewId="0">
      <selection activeCell="K16" sqref="K16"/>
    </sheetView>
  </sheetViews>
  <sheetFormatPr defaultRowHeight="12.75" x14ac:dyDescent="0.2"/>
  <cols>
    <col min="1" max="1" width="3" customWidth="1"/>
    <col min="2" max="2" width="31.140625" style="13" bestFit="1" customWidth="1"/>
    <col min="3" max="3" width="25.85546875" bestFit="1" customWidth="1"/>
    <col min="4" max="4" width="25.5703125" bestFit="1" customWidth="1"/>
    <col min="5" max="5" width="31.140625" bestFit="1" customWidth="1"/>
    <col min="6" max="6" width="20" bestFit="1" customWidth="1"/>
    <col min="7" max="7" width="15.140625" bestFit="1" customWidth="1"/>
  </cols>
  <sheetData>
    <row r="2" spans="2:7" ht="15.75" x14ac:dyDescent="0.2">
      <c r="B2" s="14" t="s">
        <v>109</v>
      </c>
      <c r="C2" s="14" t="s">
        <v>132</v>
      </c>
      <c r="D2" s="14" t="s">
        <v>156</v>
      </c>
      <c r="E2" s="14" t="s">
        <v>182</v>
      </c>
      <c r="F2" s="14" t="s">
        <v>200</v>
      </c>
    </row>
    <row r="3" spans="2:7" x14ac:dyDescent="0.2">
      <c r="B3" s="13" t="s">
        <v>110</v>
      </c>
      <c r="C3" s="13" t="s">
        <v>133</v>
      </c>
      <c r="D3" s="13" t="s">
        <v>157</v>
      </c>
      <c r="E3" s="13" t="s">
        <v>183</v>
      </c>
      <c r="F3" s="13" t="s">
        <v>201</v>
      </c>
      <c r="G3" s="13" t="s">
        <v>227</v>
      </c>
    </row>
    <row r="4" spans="2:7" x14ac:dyDescent="0.2">
      <c r="B4" s="13" t="s">
        <v>111</v>
      </c>
      <c r="C4" s="13" t="s">
        <v>134</v>
      </c>
      <c r="D4" s="13"/>
      <c r="E4" s="13" t="s">
        <v>106</v>
      </c>
      <c r="F4" s="13" t="s">
        <v>202</v>
      </c>
      <c r="G4" s="13" t="s">
        <v>228</v>
      </c>
    </row>
    <row r="5" spans="2:7" ht="15.75" x14ac:dyDescent="0.2">
      <c r="B5" s="13" t="s">
        <v>104</v>
      </c>
      <c r="C5" s="13"/>
      <c r="D5" s="14" t="s">
        <v>158</v>
      </c>
      <c r="E5" s="13"/>
      <c r="F5" s="13" t="s">
        <v>203</v>
      </c>
      <c r="G5" s="13" t="s">
        <v>105</v>
      </c>
    </row>
    <row r="6" spans="2:7" ht="15.75" x14ac:dyDescent="0.2">
      <c r="B6" s="13" t="s">
        <v>112</v>
      </c>
      <c r="C6" s="14" t="s">
        <v>135</v>
      </c>
      <c r="D6" s="13" t="s">
        <v>159</v>
      </c>
      <c r="E6" s="14" t="s">
        <v>184</v>
      </c>
      <c r="F6" s="13" t="s">
        <v>204</v>
      </c>
      <c r="G6" s="13" t="s">
        <v>107</v>
      </c>
    </row>
    <row r="7" spans="2:7" x14ac:dyDescent="0.2">
      <c r="B7" s="13" t="s">
        <v>113</v>
      </c>
      <c r="C7" s="13" t="s">
        <v>136</v>
      </c>
      <c r="D7" s="13"/>
      <c r="E7" s="13" t="s">
        <v>185</v>
      </c>
      <c r="F7" s="13" t="s">
        <v>205</v>
      </c>
      <c r="G7" s="13" t="s">
        <v>229</v>
      </c>
    </row>
    <row r="8" spans="2:7" ht="15.75" x14ac:dyDescent="0.2">
      <c r="B8" s="13" t="s">
        <v>114</v>
      </c>
      <c r="C8" s="13" t="s">
        <v>137</v>
      </c>
      <c r="D8" s="14" t="s">
        <v>160</v>
      </c>
      <c r="F8" s="13" t="s">
        <v>101</v>
      </c>
      <c r="G8" s="13" t="s">
        <v>230</v>
      </c>
    </row>
    <row r="9" spans="2:7" ht="15.75" x14ac:dyDescent="0.2">
      <c r="C9" s="13"/>
      <c r="D9" s="13" t="s">
        <v>161</v>
      </c>
      <c r="E9" s="15" t="s">
        <v>186</v>
      </c>
      <c r="F9" s="13" t="s">
        <v>100</v>
      </c>
      <c r="G9" s="13" t="s">
        <v>231</v>
      </c>
    </row>
    <row r="10" spans="2:7" ht="15.75" x14ac:dyDescent="0.2">
      <c r="B10" s="14" t="s">
        <v>115</v>
      </c>
      <c r="C10" s="14" t="s">
        <v>138</v>
      </c>
      <c r="D10" s="13"/>
      <c r="E10" s="16" t="s">
        <v>187</v>
      </c>
      <c r="F10" s="13" t="s">
        <v>206</v>
      </c>
      <c r="G10" s="13" t="s">
        <v>232</v>
      </c>
    </row>
    <row r="11" spans="2:7" ht="15.75" x14ac:dyDescent="0.2">
      <c r="B11" s="13" t="s">
        <v>116</v>
      </c>
      <c r="C11" s="13" t="s">
        <v>139</v>
      </c>
      <c r="D11" s="14" t="s">
        <v>162</v>
      </c>
      <c r="E11" s="13"/>
      <c r="F11" s="13" t="s">
        <v>207</v>
      </c>
      <c r="G11" s="13" t="s">
        <v>233</v>
      </c>
    </row>
    <row r="12" spans="2:7" ht="15.75" x14ac:dyDescent="0.2">
      <c r="C12" s="13"/>
      <c r="D12" s="13" t="s">
        <v>163</v>
      </c>
      <c r="E12" s="14" t="s">
        <v>188</v>
      </c>
      <c r="F12" s="13" t="s">
        <v>208</v>
      </c>
      <c r="G12" s="13" t="s">
        <v>99</v>
      </c>
    </row>
    <row r="13" spans="2:7" ht="15.75" x14ac:dyDescent="0.2">
      <c r="B13" s="14" t="s">
        <v>117</v>
      </c>
      <c r="C13" s="14" t="s">
        <v>140</v>
      </c>
      <c r="D13" s="13" t="s">
        <v>164</v>
      </c>
      <c r="E13" s="13" t="s">
        <v>189</v>
      </c>
      <c r="F13" s="13" t="s">
        <v>209</v>
      </c>
      <c r="G13" s="13" t="s">
        <v>234</v>
      </c>
    </row>
    <row r="14" spans="2:7" x14ac:dyDescent="0.2">
      <c r="B14" s="13" t="s">
        <v>118</v>
      </c>
      <c r="C14" s="13" t="s">
        <v>141</v>
      </c>
      <c r="D14" s="13" t="s">
        <v>165</v>
      </c>
      <c r="E14" s="13" t="s">
        <v>190</v>
      </c>
      <c r="F14" s="13" t="s">
        <v>210</v>
      </c>
      <c r="G14" s="13" t="s">
        <v>103</v>
      </c>
    </row>
    <row r="15" spans="2:7" x14ac:dyDescent="0.2">
      <c r="B15" s="13" t="s">
        <v>108</v>
      </c>
      <c r="C15" s="13"/>
      <c r="D15" s="13" t="s">
        <v>166</v>
      </c>
      <c r="E15" s="13" t="s">
        <v>94</v>
      </c>
      <c r="F15" s="13" t="s">
        <v>211</v>
      </c>
      <c r="G15" s="13" t="s">
        <v>235</v>
      </c>
    </row>
    <row r="16" spans="2:7" ht="15.75" x14ac:dyDescent="0.2">
      <c r="C16" s="14" t="s">
        <v>142</v>
      </c>
      <c r="D16" s="13" t="s">
        <v>95</v>
      </c>
      <c r="F16" s="13" t="s">
        <v>98</v>
      </c>
      <c r="G16" s="13" t="s">
        <v>236</v>
      </c>
    </row>
    <row r="17" spans="2:7" ht="15.75" x14ac:dyDescent="0.2">
      <c r="B17" s="14" t="s">
        <v>119</v>
      </c>
      <c r="C17" s="13" t="s">
        <v>143</v>
      </c>
      <c r="D17" s="13" t="s">
        <v>167</v>
      </c>
      <c r="E17" s="14" t="s">
        <v>191</v>
      </c>
      <c r="F17" s="13" t="s">
        <v>212</v>
      </c>
      <c r="G17" s="13" t="s">
        <v>237</v>
      </c>
    </row>
    <row r="18" spans="2:7" x14ac:dyDescent="0.2">
      <c r="B18" s="13" t="s">
        <v>120</v>
      </c>
      <c r="C18" s="13"/>
      <c r="D18" s="13" t="s">
        <v>168</v>
      </c>
      <c r="E18" s="13" t="s">
        <v>192</v>
      </c>
      <c r="F18" s="13" t="s">
        <v>213</v>
      </c>
      <c r="G18" s="13" t="s">
        <v>238</v>
      </c>
    </row>
    <row r="19" spans="2:7" ht="15.75" x14ac:dyDescent="0.2">
      <c r="B19" s="13" t="s">
        <v>121</v>
      </c>
      <c r="C19" s="14" t="s">
        <v>144</v>
      </c>
      <c r="D19" s="13" t="s">
        <v>169</v>
      </c>
      <c r="F19" s="13" t="s">
        <v>214</v>
      </c>
      <c r="G19" s="13" t="s">
        <v>239</v>
      </c>
    </row>
    <row r="20" spans="2:7" ht="15.75" x14ac:dyDescent="0.2">
      <c r="B20" s="13" t="s">
        <v>121</v>
      </c>
      <c r="C20" s="13" t="s">
        <v>145</v>
      </c>
      <c r="D20" s="13" t="s">
        <v>170</v>
      </c>
      <c r="E20" s="14" t="s">
        <v>193</v>
      </c>
      <c r="F20" s="13" t="s">
        <v>215</v>
      </c>
      <c r="G20" s="13" t="s">
        <v>240</v>
      </c>
    </row>
    <row r="21" spans="2:7" x14ac:dyDescent="0.2">
      <c r="B21" s="13" t="s">
        <v>122</v>
      </c>
      <c r="C21" s="13" t="s">
        <v>146</v>
      </c>
      <c r="D21" s="13"/>
      <c r="E21" s="13" t="s">
        <v>194</v>
      </c>
      <c r="F21" s="13" t="s">
        <v>155</v>
      </c>
      <c r="G21" s="13" t="s">
        <v>241</v>
      </c>
    </row>
    <row r="22" spans="2:7" ht="15.75" x14ac:dyDescent="0.2">
      <c r="C22" s="13" t="s">
        <v>147</v>
      </c>
      <c r="D22" s="14" t="s">
        <v>171</v>
      </c>
      <c r="E22" s="13" t="s">
        <v>163</v>
      </c>
      <c r="F22" s="13" t="s">
        <v>216</v>
      </c>
      <c r="G22" s="13" t="s">
        <v>97</v>
      </c>
    </row>
    <row r="23" spans="2:7" ht="15.75" x14ac:dyDescent="0.2">
      <c r="B23" s="14" t="s">
        <v>123</v>
      </c>
      <c r="C23" s="13" t="s">
        <v>148</v>
      </c>
      <c r="D23" s="13" t="s">
        <v>172</v>
      </c>
      <c r="E23" s="13" t="s">
        <v>195</v>
      </c>
      <c r="F23" s="13" t="s">
        <v>217</v>
      </c>
      <c r="G23" s="13" t="s">
        <v>242</v>
      </c>
    </row>
    <row r="24" spans="2:7" x14ac:dyDescent="0.2">
      <c r="B24" s="13" t="s">
        <v>124</v>
      </c>
      <c r="C24" s="13" t="s">
        <v>149</v>
      </c>
      <c r="D24" s="13" t="s">
        <v>173</v>
      </c>
      <c r="E24" s="13" t="s">
        <v>196</v>
      </c>
      <c r="F24" s="13" t="s">
        <v>102</v>
      </c>
      <c r="G24" s="13" t="s">
        <v>243</v>
      </c>
    </row>
    <row r="25" spans="2:7" x14ac:dyDescent="0.2">
      <c r="B25" s="13" t="s">
        <v>125</v>
      </c>
      <c r="C25" s="13" t="s">
        <v>150</v>
      </c>
      <c r="D25" s="13" t="s">
        <v>174</v>
      </c>
      <c r="E25" s="13" t="s">
        <v>155</v>
      </c>
      <c r="F25" s="13" t="s">
        <v>218</v>
      </c>
    </row>
    <row r="26" spans="2:7" ht="15.75" x14ac:dyDescent="0.2">
      <c r="C26" s="13" t="s">
        <v>96</v>
      </c>
      <c r="D26" s="13" t="s">
        <v>175</v>
      </c>
      <c r="E26" s="13" t="s">
        <v>197</v>
      </c>
      <c r="F26" s="13" t="s">
        <v>219</v>
      </c>
      <c r="G26" s="14" t="s">
        <v>244</v>
      </c>
    </row>
    <row r="27" spans="2:7" ht="15.75" x14ac:dyDescent="0.2">
      <c r="B27" s="14" t="s">
        <v>126</v>
      </c>
      <c r="C27" s="13" t="s">
        <v>151</v>
      </c>
      <c r="D27" s="13" t="s">
        <v>176</v>
      </c>
      <c r="E27" s="13" t="s">
        <v>198</v>
      </c>
      <c r="F27" s="13" t="s">
        <v>220</v>
      </c>
      <c r="G27" s="13" t="s">
        <v>245</v>
      </c>
    </row>
    <row r="28" spans="2:7" x14ac:dyDescent="0.2">
      <c r="B28" s="13" t="s">
        <v>127</v>
      </c>
      <c r="D28" s="13" t="s">
        <v>177</v>
      </c>
      <c r="E28" s="13" t="s">
        <v>199</v>
      </c>
      <c r="F28" s="13" t="s">
        <v>221</v>
      </c>
    </row>
    <row r="29" spans="2:7" ht="15.75" x14ac:dyDescent="0.2">
      <c r="C29" s="14" t="s">
        <v>152</v>
      </c>
      <c r="D29" s="13" t="s">
        <v>178</v>
      </c>
      <c r="F29" s="13" t="s">
        <v>222</v>
      </c>
    </row>
    <row r="30" spans="2:7" ht="15.75" x14ac:dyDescent="0.2">
      <c r="B30" s="14" t="s">
        <v>128</v>
      </c>
      <c r="C30" s="13" t="s">
        <v>153</v>
      </c>
      <c r="D30" s="13" t="s">
        <v>179</v>
      </c>
      <c r="F30" s="13" t="s">
        <v>223</v>
      </c>
    </row>
    <row r="31" spans="2:7" x14ac:dyDescent="0.2">
      <c r="B31" s="13" t="s">
        <v>129</v>
      </c>
      <c r="C31" s="13" t="s">
        <v>154</v>
      </c>
      <c r="D31" s="13"/>
      <c r="F31" s="13" t="s">
        <v>224</v>
      </c>
    </row>
    <row r="32" spans="2:7" ht="15.75" x14ac:dyDescent="0.2">
      <c r="C32" s="13" t="s">
        <v>155</v>
      </c>
      <c r="D32" s="14" t="s">
        <v>180</v>
      </c>
      <c r="F32" s="13" t="s">
        <v>225</v>
      </c>
    </row>
    <row r="33" spans="2:6" ht="15.75" x14ac:dyDescent="0.2">
      <c r="B33" s="14" t="s">
        <v>130</v>
      </c>
      <c r="C33" s="13" t="s">
        <v>99</v>
      </c>
      <c r="D33" s="13" t="s">
        <v>181</v>
      </c>
      <c r="F33" s="13" t="s">
        <v>226</v>
      </c>
    </row>
    <row r="34" spans="2:6" x14ac:dyDescent="0.2">
      <c r="B34" s="13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2025-01-12T16:16:45Z</dcterms:created>
  <dcterms:modified xsi:type="dcterms:W3CDTF">2025-01-19T20:17:33Z</dcterms:modified>
</cp:coreProperties>
</file>