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D89274B1-D2C2-4B9E-95EA-BD7C4E44332E}" xr6:coauthVersionLast="47" xr6:coauthVersionMax="47" xr10:uidLastSave="{00000000-0000-0000-0000-000000000000}"/>
  <bookViews>
    <workbookView xWindow="8355" yWindow="105" windowWidth="14175" windowHeight="15375" activeTab="1" xr2:uid="{64814B4B-2285-4CEE-9EEA-DB9ADC1C7F2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R13" i="2"/>
  <c r="R21" i="2" s="1"/>
  <c r="R19" i="2"/>
  <c r="R18" i="2"/>
  <c r="R12" i="2"/>
  <c r="R11" i="2"/>
  <c r="R8" i="2"/>
  <c r="R9" i="2" s="1"/>
  <c r="R4" i="2"/>
  <c r="Q9" i="2"/>
  <c r="R7" i="2"/>
  <c r="R6" i="2"/>
  <c r="R5" i="2"/>
  <c r="R3" i="2"/>
  <c r="Q6" i="2"/>
  <c r="Q13" i="2"/>
  <c r="Q11" i="2"/>
  <c r="Q8" i="2"/>
  <c r="Q7" i="2"/>
  <c r="Q4" i="2"/>
  <c r="Q3" i="2"/>
  <c r="Q23" i="2" s="1"/>
  <c r="AF9" i="2"/>
  <c r="AF5" i="2"/>
  <c r="AF18" i="2" s="1"/>
  <c r="AG9" i="2"/>
  <c r="AG5" i="2"/>
  <c r="AG18" i="2" s="1"/>
  <c r="P13" i="2"/>
  <c r="P11" i="2"/>
  <c r="P8" i="2"/>
  <c r="P7" i="2"/>
  <c r="P6" i="2"/>
  <c r="P4" i="2"/>
  <c r="P3" i="2"/>
  <c r="P23" i="2" s="1"/>
  <c r="T13" i="2"/>
  <c r="T11" i="2"/>
  <c r="T8" i="2"/>
  <c r="T7" i="2"/>
  <c r="T6" i="2"/>
  <c r="T5" i="2"/>
  <c r="T4" i="2"/>
  <c r="T3" i="2"/>
  <c r="S23" i="2"/>
  <c r="O18" i="2"/>
  <c r="O9" i="2"/>
  <c r="O5" i="2"/>
  <c r="S21" i="2"/>
  <c r="S20" i="2"/>
  <c r="S19" i="2"/>
  <c r="S18" i="2"/>
  <c r="S15" i="2"/>
  <c r="S9" i="2"/>
  <c r="S5" i="2"/>
  <c r="S10" i="2" s="1"/>
  <c r="S12" i="2" s="1"/>
  <c r="S14" i="2" s="1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L7" i="1"/>
  <c r="L5" i="1"/>
  <c r="L8" i="1" s="1"/>
  <c r="R14" i="2" l="1"/>
  <c r="R10" i="2"/>
  <c r="Q5" i="2"/>
  <c r="Q18" i="2" s="1"/>
  <c r="AF10" i="2"/>
  <c r="AG10" i="2"/>
  <c r="AG12" i="2" s="1"/>
  <c r="AG14" i="2" s="1"/>
  <c r="P9" i="2"/>
  <c r="P5" i="2"/>
  <c r="T23" i="2"/>
  <c r="T9" i="2"/>
  <c r="T18" i="2"/>
  <c r="O10" i="2"/>
  <c r="O19" i="2" s="1"/>
  <c r="R20" i="2" l="1"/>
  <c r="R15" i="2"/>
  <c r="Q10" i="2"/>
  <c r="Q19" i="2" s="1"/>
  <c r="AF19" i="2"/>
  <c r="AF12" i="2"/>
  <c r="AG19" i="2"/>
  <c r="AG21" i="2"/>
  <c r="AG20" i="2"/>
  <c r="AG15" i="2"/>
  <c r="P18" i="2"/>
  <c r="P10" i="2"/>
  <c r="T10" i="2"/>
  <c r="T12" i="2" s="1"/>
  <c r="O12" i="2"/>
  <c r="O21" i="2" s="1"/>
  <c r="Q12" i="2" l="1"/>
  <c r="Q21" i="2" s="1"/>
  <c r="AF21" i="2"/>
  <c r="AF14" i="2"/>
  <c r="P12" i="2"/>
  <c r="P19" i="2"/>
  <c r="T19" i="2"/>
  <c r="T21" i="2"/>
  <c r="T14" i="2"/>
  <c r="O14" i="2"/>
  <c r="O20" i="2" s="1"/>
  <c r="Q14" i="2" l="1"/>
  <c r="Q20" i="2" s="1"/>
  <c r="AF20" i="2"/>
  <c r="AF15" i="2"/>
  <c r="P14" i="2"/>
  <c r="P21" i="2"/>
  <c r="T20" i="2"/>
  <c r="T15" i="2"/>
  <c r="O15" i="2"/>
  <c r="Q15" i="2" l="1"/>
  <c r="P20" i="2"/>
  <c r="P15" i="2"/>
</calcChain>
</file>

<file path=xl/sharedStrings.xml><?xml version="1.0" encoding="utf-8"?>
<sst xmlns="http://schemas.openxmlformats.org/spreadsheetml/2006/main" count="46" uniqueCount="45">
  <si>
    <t xml:space="preserve">Price </t>
  </si>
  <si>
    <t>Shares</t>
  </si>
  <si>
    <t>MC</t>
  </si>
  <si>
    <t>Cash</t>
  </si>
  <si>
    <t>Debt</t>
  </si>
  <si>
    <t>EV</t>
  </si>
  <si>
    <t>Revenue</t>
  </si>
  <si>
    <t>COGS</t>
  </si>
  <si>
    <t>Personnel expenses</t>
  </si>
  <si>
    <t>Gross profit</t>
  </si>
  <si>
    <t>Other operating expenses</t>
  </si>
  <si>
    <t>OpEx</t>
  </si>
  <si>
    <t>OpInc</t>
  </si>
  <si>
    <t>Other operating income</t>
  </si>
  <si>
    <t>Interest expense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</si>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</sst>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3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AD8B-4D5B-4791-A695-222ED2E98B23}">
  <dimension ref="K3:L15"/>
  <sheetViews>
    <sheetView workbookViewId="0">
      <selection activeCell="K16" sqref="J16:K16"/>
    </sheetView>
  </sheetViews>
  <sheetFormatPr defaultRowHeight="12.75" x14ac:dyDescent="0.2"/>
  <cols>
    <col min="12" max="12" width="10.140625" bestFit="1" customWidth="1"/>
  </cols>
  <sheetData>
    <row r="3" spans="11:12" x14ac:dyDescent="0.2">
      <c r="K3" t="s">
        <v>0</v>
      </c>
      <c r="L3" s="4">
        <v>30.9</v>
      </c>
    </row>
    <row r="4" spans="11:12" x14ac:dyDescent="0.2">
      <c r="K4" t="s">
        <v>1</v>
      </c>
      <c r="L4" s="1">
        <v>10.377259</v>
      </c>
    </row>
    <row r="5" spans="11:12" x14ac:dyDescent="0.2">
      <c r="K5" t="s">
        <v>2</v>
      </c>
      <c r="L5" s="1">
        <f>+L3*L4</f>
        <v>320.65730309999998</v>
      </c>
    </row>
    <row r="6" spans="11:12" x14ac:dyDescent="0.2">
      <c r="K6" t="s">
        <v>3</v>
      </c>
      <c r="L6" s="1">
        <v>12.3</v>
      </c>
    </row>
    <row r="7" spans="11:12" x14ac:dyDescent="0.2">
      <c r="K7" t="s">
        <v>4</v>
      </c>
      <c r="L7" s="1">
        <f>101.9+146</f>
        <v>247.9</v>
      </c>
    </row>
    <row r="8" spans="11:12" x14ac:dyDescent="0.2">
      <c r="K8" t="s">
        <v>5</v>
      </c>
      <c r="L8" s="1">
        <f>+L5-L6+L7</f>
        <v>556.25730309999994</v>
      </c>
    </row>
    <row r="9" spans="11:12" x14ac:dyDescent="0.2">
      <c r="L9">
        <v>50</v>
      </c>
    </row>
    <row r="10" spans="11:12" x14ac:dyDescent="0.2">
      <c r="L10" s="8">
        <f>+L8/L9</f>
        <v>11.125146061999999</v>
      </c>
    </row>
    <row r="15" spans="11:12" x14ac:dyDescent="0.2">
      <c r="L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E158-07E8-46D8-9CAA-491D21D85C48}">
  <dimension ref="B2:AW100"/>
  <sheetViews>
    <sheetView tabSelected="1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R23" sqref="R23"/>
    </sheetView>
  </sheetViews>
  <sheetFormatPr defaultRowHeight="12.75" x14ac:dyDescent="0.2"/>
  <cols>
    <col min="1" max="1" width="2" style="1" customWidth="1"/>
    <col min="2" max="2" width="22.7109375" style="1" bestFit="1" customWidth="1"/>
    <col min="3" max="16384" width="9.140625" style="1"/>
  </cols>
  <sheetData>
    <row r="2" spans="2:49" x14ac:dyDescent="0.2"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39</v>
      </c>
      <c r="S2" s="1" t="s">
        <v>40</v>
      </c>
      <c r="T2" s="1" t="s">
        <v>41</v>
      </c>
      <c r="U2" s="1" t="s">
        <v>42</v>
      </c>
      <c r="V2" s="1" t="s">
        <v>43</v>
      </c>
      <c r="X2" s="3">
        <v>2014</v>
      </c>
      <c r="Y2" s="3">
        <f>+X2+1</f>
        <v>2015</v>
      </c>
      <c r="Z2" s="3">
        <f t="shared" ref="Z2:AW2" si="0">+Y2+1</f>
        <v>2016</v>
      </c>
      <c r="AA2" s="3">
        <f t="shared" si="0"/>
        <v>2017</v>
      </c>
      <c r="AB2" s="3">
        <f t="shared" si="0"/>
        <v>2018</v>
      </c>
      <c r="AC2" s="3">
        <f t="shared" si="0"/>
        <v>2019</v>
      </c>
      <c r="AD2" s="3">
        <f t="shared" si="0"/>
        <v>2020</v>
      </c>
      <c r="AE2" s="3">
        <f t="shared" si="0"/>
        <v>2021</v>
      </c>
      <c r="AF2" s="3">
        <f t="shared" si="0"/>
        <v>2022</v>
      </c>
      <c r="AG2" s="3">
        <f t="shared" si="0"/>
        <v>2023</v>
      </c>
      <c r="AH2" s="3">
        <f t="shared" si="0"/>
        <v>2024</v>
      </c>
      <c r="AI2" s="3">
        <f t="shared" si="0"/>
        <v>2025</v>
      </c>
      <c r="AJ2" s="3">
        <f t="shared" si="0"/>
        <v>2026</v>
      </c>
      <c r="AK2" s="3">
        <f t="shared" si="0"/>
        <v>2027</v>
      </c>
      <c r="AL2" s="3">
        <f t="shared" si="0"/>
        <v>2028</v>
      </c>
      <c r="AM2" s="3">
        <f t="shared" si="0"/>
        <v>2029</v>
      </c>
      <c r="AN2" s="3">
        <f t="shared" si="0"/>
        <v>2030</v>
      </c>
      <c r="AO2" s="3">
        <f t="shared" si="0"/>
        <v>2031</v>
      </c>
      <c r="AP2" s="3">
        <f t="shared" si="0"/>
        <v>2032</v>
      </c>
      <c r="AQ2" s="3">
        <f t="shared" si="0"/>
        <v>2033</v>
      </c>
      <c r="AR2" s="3">
        <f t="shared" si="0"/>
        <v>2034</v>
      </c>
      <c r="AS2" s="3">
        <f t="shared" si="0"/>
        <v>2035</v>
      </c>
      <c r="AT2" s="3">
        <f t="shared" si="0"/>
        <v>2036</v>
      </c>
      <c r="AU2" s="3">
        <f t="shared" si="0"/>
        <v>2037</v>
      </c>
      <c r="AV2" s="3">
        <f t="shared" si="0"/>
        <v>2038</v>
      </c>
      <c r="AW2" s="3">
        <f t="shared" si="0"/>
        <v>2039</v>
      </c>
    </row>
    <row r="3" spans="2:49" s="5" customFormat="1" x14ac:dyDescent="0.2">
      <c r="B3" s="5" t="s">
        <v>6</v>
      </c>
      <c r="O3" s="5">
        <v>368.5</v>
      </c>
      <c r="P3" s="5">
        <f>754.174-O3</f>
        <v>385.67399999999998</v>
      </c>
      <c r="Q3" s="5">
        <f>1073.464-SUM(O3:P3)</f>
        <v>319.28999999999996</v>
      </c>
      <c r="R3" s="5">
        <f>+AG3-SUM(O3:Q3)</f>
        <v>367.55600000000004</v>
      </c>
      <c r="S3" s="5">
        <v>376.7</v>
      </c>
      <c r="T3" s="5">
        <f>699.386-S3</f>
        <v>322.68599999999998</v>
      </c>
      <c r="AF3" s="5">
        <v>1049.52</v>
      </c>
      <c r="AG3" s="5">
        <v>1441.02</v>
      </c>
    </row>
    <row r="4" spans="2:49" x14ac:dyDescent="0.2">
      <c r="B4" s="1" t="s">
        <v>7</v>
      </c>
      <c r="O4" s="1">
        <v>279.7</v>
      </c>
      <c r="P4" s="1">
        <f>577.076-O4</f>
        <v>297.37600000000003</v>
      </c>
      <c r="Q4" s="1">
        <f>825.957-SUM(O4:P4)</f>
        <v>248.88099999999997</v>
      </c>
      <c r="R4" s="7">
        <f>+AG4-SUM(O4:Q4)</f>
        <v>244.82000000000005</v>
      </c>
      <c r="S4" s="1">
        <v>272.60000000000002</v>
      </c>
      <c r="T4" s="1">
        <f>525.638-S4</f>
        <v>253.03800000000001</v>
      </c>
      <c r="AF4" s="1">
        <v>775.87400000000002</v>
      </c>
      <c r="AG4" s="1">
        <v>1070.777</v>
      </c>
    </row>
    <row r="5" spans="2:49" s="5" customFormat="1" x14ac:dyDescent="0.2">
      <c r="B5" s="5" t="s">
        <v>9</v>
      </c>
      <c r="O5" s="5">
        <f>+O3-O4</f>
        <v>88.800000000000011</v>
      </c>
      <c r="P5" s="5">
        <f>+P3-P4</f>
        <v>88.297999999999945</v>
      </c>
      <c r="Q5" s="5">
        <f>+Q3-Q4</f>
        <v>70.408999999999992</v>
      </c>
      <c r="R5" s="5">
        <f>+R3-R4</f>
        <v>122.73599999999999</v>
      </c>
      <c r="S5" s="5">
        <f>+S3-S4</f>
        <v>104.09999999999997</v>
      </c>
      <c r="T5" s="5">
        <f>+T3-T4</f>
        <v>69.647999999999968</v>
      </c>
      <c r="AF5" s="5">
        <f>+AF3-AF4</f>
        <v>273.64599999999996</v>
      </c>
      <c r="AG5" s="5">
        <f>+AG3-AG4</f>
        <v>370.24299999999994</v>
      </c>
    </row>
    <row r="6" spans="2:49" x14ac:dyDescent="0.2">
      <c r="B6" s="1" t="s">
        <v>8</v>
      </c>
      <c r="O6" s="1">
        <v>41.5</v>
      </c>
      <c r="P6" s="1">
        <f>83.162-O6</f>
        <v>41.662000000000006</v>
      </c>
      <c r="Q6" s="1">
        <f>120.08-SUM(O6:P6)</f>
        <v>36.917999999999992</v>
      </c>
      <c r="R6" s="7">
        <f>+AG6-SUM(O6:Q6)</f>
        <v>37.47699999999999</v>
      </c>
      <c r="S6" s="1">
        <v>45.7</v>
      </c>
      <c r="T6" s="1">
        <f>88.02-S6</f>
        <v>42.319999999999993</v>
      </c>
      <c r="AF6" s="1">
        <v>141.53899999999999</v>
      </c>
      <c r="AG6" s="1">
        <v>157.55699999999999</v>
      </c>
    </row>
    <row r="7" spans="2:49" x14ac:dyDescent="0.2">
      <c r="B7" s="1" t="s">
        <v>13</v>
      </c>
      <c r="O7" s="1">
        <v>2.5</v>
      </c>
      <c r="P7" s="1">
        <f>4.25-O7</f>
        <v>1.75</v>
      </c>
      <c r="Q7" s="1">
        <f>7.522-SUM(O7:P7)</f>
        <v>3.2720000000000002</v>
      </c>
      <c r="R7" s="7">
        <f>+AG7-SUM(O7:Q7)</f>
        <v>2.3780000000000001</v>
      </c>
      <c r="S7" s="1">
        <v>1.8</v>
      </c>
      <c r="T7" s="1">
        <f>3.27-S7</f>
        <v>1.47</v>
      </c>
      <c r="AF7" s="1">
        <v>6.0019999999999998</v>
      </c>
      <c r="AG7" s="1">
        <v>9.9</v>
      </c>
    </row>
    <row r="8" spans="2:49" x14ac:dyDescent="0.2">
      <c r="B8" s="1" t="s">
        <v>10</v>
      </c>
      <c r="O8" s="1">
        <v>26.8</v>
      </c>
      <c r="P8" s="1">
        <f>55.841-O8</f>
        <v>29.041</v>
      </c>
      <c r="Q8" s="1">
        <f>93.726-SUM(O8:P8)</f>
        <v>37.884999999999998</v>
      </c>
      <c r="R8" s="7">
        <f>+AG8-SUM(O8:Q8)</f>
        <v>28.768000000000001</v>
      </c>
      <c r="S8" s="1">
        <v>32</v>
      </c>
      <c r="T8" s="1">
        <f>64.586-S8</f>
        <v>32.585999999999999</v>
      </c>
      <c r="AF8" s="1">
        <v>91.432000000000002</v>
      </c>
      <c r="AG8" s="1">
        <v>122.494</v>
      </c>
    </row>
    <row r="9" spans="2:49" x14ac:dyDescent="0.2">
      <c r="B9" s="1" t="s">
        <v>11</v>
      </c>
      <c r="O9" s="1">
        <f>+O6-O7+O8</f>
        <v>65.8</v>
      </c>
      <c r="P9" s="1">
        <f>+P6-P7+P8</f>
        <v>68.953000000000003</v>
      </c>
      <c r="Q9" s="1">
        <f>+Q6-Q7+Q8</f>
        <v>71.530999999999992</v>
      </c>
      <c r="R9" s="1">
        <f>+R6-R7+R8</f>
        <v>63.86699999999999</v>
      </c>
      <c r="S9" s="1">
        <f>+S6-S7+S8</f>
        <v>75.900000000000006</v>
      </c>
      <c r="T9" s="1">
        <f>+T6-T7+T8</f>
        <v>73.435999999999993</v>
      </c>
      <c r="AF9" s="1">
        <f>+AF6-AF7+AF8</f>
        <v>226.96899999999999</v>
      </c>
      <c r="AG9" s="1">
        <f>+AG6-AG7+AG8</f>
        <v>270.15099999999995</v>
      </c>
    </row>
    <row r="10" spans="2:49" s="5" customFormat="1" x14ac:dyDescent="0.2">
      <c r="B10" s="5" t="s">
        <v>12</v>
      </c>
      <c r="O10" s="5">
        <f>+O5-O9</f>
        <v>23.000000000000014</v>
      </c>
      <c r="P10" s="5">
        <f>+P5-P9</f>
        <v>19.344999999999942</v>
      </c>
      <c r="Q10" s="5">
        <f>+Q5-Q9</f>
        <v>-1.1219999999999999</v>
      </c>
      <c r="R10" s="5">
        <f>+R5-R9</f>
        <v>58.869</v>
      </c>
      <c r="S10" s="5">
        <f>+S5-S9</f>
        <v>28.19999999999996</v>
      </c>
      <c r="T10" s="5">
        <f>+T5-T9</f>
        <v>-3.7880000000000251</v>
      </c>
      <c r="AF10" s="5">
        <f>+AF5-AF9</f>
        <v>46.676999999999964</v>
      </c>
      <c r="AG10" s="5">
        <f>+AG5-AG9</f>
        <v>100.09199999999998</v>
      </c>
    </row>
    <row r="11" spans="2:49" x14ac:dyDescent="0.2">
      <c r="B11" s="1" t="s">
        <v>14</v>
      </c>
      <c r="O11" s="1">
        <v>-2.5</v>
      </c>
      <c r="P11" s="1">
        <f>-3.711-O11</f>
        <v>-1.2109999999999999</v>
      </c>
      <c r="Q11" s="1">
        <f>-6.611-SUM(O11:P11)</f>
        <v>-2.9</v>
      </c>
      <c r="R11" s="7">
        <f>+AG11-SUM(O11:Q11)</f>
        <v>-4.0930000000000009</v>
      </c>
      <c r="S11" s="1">
        <v>-3.9</v>
      </c>
      <c r="T11" s="1">
        <f>-6.687-S11</f>
        <v>-2.7870000000000004</v>
      </c>
      <c r="AF11" s="1">
        <v>0.224</v>
      </c>
      <c r="AG11" s="1">
        <v>-10.704000000000001</v>
      </c>
    </row>
    <row r="12" spans="2:49" x14ac:dyDescent="0.2">
      <c r="B12" s="1" t="s">
        <v>15</v>
      </c>
      <c r="O12" s="1">
        <f>+O10+O11</f>
        <v>20.500000000000014</v>
      </c>
      <c r="P12" s="1">
        <f>+P10+P11</f>
        <v>18.133999999999943</v>
      </c>
      <c r="Q12" s="1">
        <f>+Q10+Q11</f>
        <v>-4.0220000000000002</v>
      </c>
      <c r="R12" s="1">
        <f>+R10+R11</f>
        <v>54.775999999999996</v>
      </c>
      <c r="S12" s="1">
        <f>+S10+S11</f>
        <v>24.299999999999962</v>
      </c>
      <c r="T12" s="1">
        <f>+T10+T11</f>
        <v>-6.5750000000000259</v>
      </c>
      <c r="AF12" s="1">
        <f>+AF10+AF11</f>
        <v>46.900999999999961</v>
      </c>
      <c r="AG12" s="1">
        <f>+AG10+AG11</f>
        <v>89.387999999999977</v>
      </c>
    </row>
    <row r="13" spans="2:49" x14ac:dyDescent="0.2">
      <c r="B13" s="1" t="s">
        <v>16</v>
      </c>
      <c r="O13" s="1">
        <v>6.9</v>
      </c>
      <c r="P13" s="1">
        <f>15.229-O13</f>
        <v>8.3289999999999988</v>
      </c>
      <c r="Q13" s="1">
        <f>17.945-SUM(O13:P13)</f>
        <v>2.7160000000000011</v>
      </c>
      <c r="R13" s="7">
        <f>+AG13-SUM(O13:Q13)</f>
        <v>7.4929999999999986</v>
      </c>
      <c r="S13" s="1">
        <v>7.8</v>
      </c>
      <c r="T13" s="1">
        <f>12.696-S13</f>
        <v>4.8959999999999999</v>
      </c>
      <c r="AF13" s="1">
        <v>12.154999999999999</v>
      </c>
      <c r="AG13" s="1">
        <v>25.437999999999999</v>
      </c>
    </row>
    <row r="14" spans="2:49" s="5" customFormat="1" x14ac:dyDescent="0.2">
      <c r="B14" s="5" t="s">
        <v>17</v>
      </c>
      <c r="O14" s="5">
        <f>+O12-O13</f>
        <v>13.600000000000014</v>
      </c>
      <c r="P14" s="5">
        <f>+P12-P13</f>
        <v>9.8049999999999446</v>
      </c>
      <c r="Q14" s="5">
        <f>+Q12-Q13</f>
        <v>-6.7380000000000013</v>
      </c>
      <c r="R14" s="5">
        <f>+R12-R13</f>
        <v>47.283000000000001</v>
      </c>
      <c r="S14" s="5">
        <f>+S12-S13</f>
        <v>16.499999999999961</v>
      </c>
      <c r="T14" s="5">
        <f>+T12-T13</f>
        <v>-11.471000000000025</v>
      </c>
      <c r="AF14" s="5">
        <f>+AF12-AF13</f>
        <v>34.74599999999996</v>
      </c>
      <c r="AG14" s="5">
        <f>+AG12-AG13</f>
        <v>63.949999999999974</v>
      </c>
    </row>
    <row r="15" spans="2:49" x14ac:dyDescent="0.2">
      <c r="B15" s="1" t="s">
        <v>18</v>
      </c>
      <c r="O15" s="4">
        <f>+O14/O16</f>
        <v>1.3105580192226109</v>
      </c>
      <c r="P15" s="4">
        <f>+P14/P16</f>
        <v>0.94485451312335411</v>
      </c>
      <c r="Q15" s="4">
        <f>+Q14/Q16</f>
        <v>-0.64930440687661362</v>
      </c>
      <c r="R15" s="4">
        <f>+R14/R16</f>
        <v>4.5564055016840186</v>
      </c>
      <c r="S15" s="4">
        <f>+S14/S16</f>
        <v>1.5900152439097801</v>
      </c>
      <c r="T15" s="4">
        <f>+T14/T16</f>
        <v>-1.1053978704781315</v>
      </c>
      <c r="AF15" s="4">
        <f>+AF14/AF16</f>
        <v>3.3482830099932901</v>
      </c>
      <c r="AG15" s="4">
        <f>+AG14/AG16</f>
        <v>6.1625136271533716</v>
      </c>
    </row>
    <row r="16" spans="2:49" x14ac:dyDescent="0.2">
      <c r="B16" s="1" t="s">
        <v>1</v>
      </c>
      <c r="O16" s="1">
        <v>10.377259</v>
      </c>
      <c r="P16" s="1">
        <v>10.377259</v>
      </c>
      <c r="Q16" s="1">
        <v>10.377259</v>
      </c>
      <c r="R16" s="1">
        <v>10.377259</v>
      </c>
      <c r="S16" s="1">
        <v>10.377259</v>
      </c>
      <c r="T16" s="1">
        <v>10.377259</v>
      </c>
      <c r="AF16" s="1">
        <v>10.377259</v>
      </c>
      <c r="AG16" s="1">
        <v>10.377259</v>
      </c>
    </row>
    <row r="18" spans="2:33" s="2" customFormat="1" x14ac:dyDescent="0.2">
      <c r="B18" s="2" t="s">
        <v>19</v>
      </c>
      <c r="O18" s="2">
        <f>+O5/O3</f>
        <v>0.24097693351424698</v>
      </c>
      <c r="P18" s="2">
        <f>+P5/P3</f>
        <v>0.22894465273780434</v>
      </c>
      <c r="Q18" s="2">
        <f>+Q5/Q3</f>
        <v>0.22051739797676093</v>
      </c>
      <c r="R18" s="2">
        <f>+R5/R3</f>
        <v>0.33392462645147941</v>
      </c>
      <c r="S18" s="2">
        <f>+S5/S3</f>
        <v>0.27634722590921151</v>
      </c>
      <c r="T18" s="2">
        <f>+T5/T3</f>
        <v>0.21583830720886549</v>
      </c>
      <c r="AF18" s="2">
        <f>+AF5/AF3</f>
        <v>0.26073443097797083</v>
      </c>
      <c r="AG18" s="2">
        <f>+AG5/AG3</f>
        <v>0.25693120151004145</v>
      </c>
    </row>
    <row r="19" spans="2:33" s="2" customFormat="1" x14ac:dyDescent="0.2">
      <c r="B19" s="2" t="s">
        <v>20</v>
      </c>
      <c r="O19" s="2">
        <f>+O10/O3</f>
        <v>6.2415196743554995E-2</v>
      </c>
      <c r="P19" s="2">
        <f>+P10/P3</f>
        <v>5.0158942526589666E-2</v>
      </c>
      <c r="Q19" s="2">
        <f>+Q10/Q3</f>
        <v>-3.5140467913182373E-3</v>
      </c>
      <c r="R19" s="2">
        <f>+R10/R3</f>
        <v>0.1601633492583443</v>
      </c>
      <c r="S19" s="2">
        <f>+S10/S3</f>
        <v>7.4860631802495248E-2</v>
      </c>
      <c r="T19" s="2">
        <f>+T10/T3</f>
        <v>-1.1738966053686944E-2</v>
      </c>
      <c r="AF19" s="2">
        <f>+AF10/AF3</f>
        <v>4.4474616967756654E-2</v>
      </c>
      <c r="AG19" s="2">
        <f>+AG10/AG3</f>
        <v>6.9459133114044211E-2</v>
      </c>
    </row>
    <row r="20" spans="2:33" s="2" customFormat="1" x14ac:dyDescent="0.2">
      <c r="B20" s="2" t="s">
        <v>21</v>
      </c>
      <c r="O20" s="2">
        <f>+O14/O3</f>
        <v>3.6906377204884704E-2</v>
      </c>
      <c r="P20" s="2">
        <f>+P14/P3</f>
        <v>2.5423025664161818E-2</v>
      </c>
      <c r="Q20" s="2">
        <f>+Q14/Q3</f>
        <v>-2.110307244198065E-2</v>
      </c>
      <c r="R20" s="2">
        <f>+R14/R3</f>
        <v>0.12864162195692627</v>
      </c>
      <c r="S20" s="2">
        <f>+S14/S3</f>
        <v>4.3801433501459944E-2</v>
      </c>
      <c r="T20" s="2">
        <f>+T14/T3</f>
        <v>-3.5548489863210755E-2</v>
      </c>
      <c r="AF20" s="2">
        <f>+AF14/AF3</f>
        <v>3.3106563000228635E-2</v>
      </c>
      <c r="AG20" s="2">
        <f>+AG14/AG3</f>
        <v>4.4378287601837568E-2</v>
      </c>
    </row>
    <row r="21" spans="2:33" s="2" customFormat="1" x14ac:dyDescent="0.2">
      <c r="B21" s="2" t="s">
        <v>22</v>
      </c>
      <c r="O21" s="2">
        <f>+O13/O12</f>
        <v>0.33658536585365834</v>
      </c>
      <c r="P21" s="2">
        <f>+P13/P12</f>
        <v>0.45930296680269245</v>
      </c>
      <c r="Q21" s="2">
        <f>+Q13/Q12</f>
        <v>-0.67528592739930404</v>
      </c>
      <c r="R21" s="2">
        <f>+R13/R12</f>
        <v>0.13679348619833501</v>
      </c>
      <c r="S21" s="2">
        <f>+S13/S12</f>
        <v>0.32098765432098814</v>
      </c>
      <c r="T21" s="2">
        <f>+T13/T12</f>
        <v>-0.74463878326995903</v>
      </c>
      <c r="AF21" s="2">
        <f>+AF13/AF12</f>
        <v>0.25916291763501864</v>
      </c>
      <c r="AG21" s="2">
        <f>+AG13/AG12</f>
        <v>0.2845795856267061</v>
      </c>
    </row>
    <row r="22" spans="2:33" s="2" customFormat="1" x14ac:dyDescent="0.2"/>
    <row r="23" spans="2:33" s="6" customFormat="1" x14ac:dyDescent="0.2">
      <c r="B23" s="6" t="s">
        <v>23</v>
      </c>
      <c r="P23" s="6" t="e">
        <f>+P3/L3-1</f>
        <v>#DIV/0!</v>
      </c>
      <c r="Q23" s="6" t="e">
        <f>+Q3/M3-1</f>
        <v>#DIV/0!</v>
      </c>
      <c r="S23" s="6">
        <f>+S3/O3-1</f>
        <v>2.2252374491180449E-2</v>
      </c>
      <c r="T23" s="6">
        <f>+T3/P3-1</f>
        <v>-0.16331928001369034</v>
      </c>
    </row>
    <row r="100" spans="2:33" x14ac:dyDescent="0.2">
      <c r="B100" s="1" t="s">
        <v>44</v>
      </c>
      <c r="AE100" s="1">
        <v>3609</v>
      </c>
      <c r="AF100" s="1">
        <v>3986</v>
      </c>
      <c r="AG100" s="1">
        <v>4215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2024-09-03T11:43:19Z</dcterms:created>
  <dcterms:modified xsi:type="dcterms:W3CDTF">2024-09-03T18:27:14Z</dcterms:modified>
</cp:coreProperties>
</file>