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F2EC9D93-784E-458A-B796-83E0CE0E4E22}" xr6:coauthVersionLast="47" xr6:coauthVersionMax="47" xr10:uidLastSave="{00000000-0000-0000-0000-000000000000}"/>
  <bookViews>
    <workbookView xWindow="255" yWindow="120" windowWidth="13995" windowHeight="15375" activeTab="1" xr2:uid="{25179ABC-C85C-4708-8F9C-4511EC5C414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2" l="1"/>
  <c r="O29" i="2"/>
  <c r="V12" i="2"/>
  <c r="V8" i="2"/>
  <c r="V5" i="2"/>
  <c r="W12" i="2"/>
  <c r="W8" i="2"/>
  <c r="W5" i="2"/>
  <c r="X12" i="2"/>
  <c r="X8" i="2"/>
  <c r="X5" i="2"/>
  <c r="Y12" i="2"/>
  <c r="Y8" i="2"/>
  <c r="Y5" i="2"/>
  <c r="AA27" i="2"/>
  <c r="Z12" i="2"/>
  <c r="Z8" i="2"/>
  <c r="Z5" i="2"/>
  <c r="J9" i="1"/>
  <c r="O72" i="2"/>
  <c r="O73" i="2" s="1"/>
  <c r="O70" i="2"/>
  <c r="O68" i="2"/>
  <c r="O63" i="2"/>
  <c r="O62" i="2"/>
  <c r="O58" i="2"/>
  <c r="O57" i="2"/>
  <c r="O51" i="2"/>
  <c r="O49" i="2"/>
  <c r="O47" i="2"/>
  <c r="O45" i="2"/>
  <c r="O42" i="2"/>
  <c r="O38" i="2"/>
  <c r="O36" i="2"/>
  <c r="O30" i="2"/>
  <c r="N73" i="2"/>
  <c r="N72" i="2"/>
  <c r="N70" i="2"/>
  <c r="N69" i="2"/>
  <c r="N68" i="2"/>
  <c r="N67" i="2"/>
  <c r="N66" i="2"/>
  <c r="N65" i="2"/>
  <c r="N63" i="2"/>
  <c r="N62" i="2"/>
  <c r="N60" i="2"/>
  <c r="N58" i="2"/>
  <c r="N57" i="2"/>
  <c r="N56" i="2"/>
  <c r="N50" i="2"/>
  <c r="N42" i="2"/>
  <c r="N45" i="2" s="1"/>
  <c r="N47" i="2" s="1"/>
  <c r="N38" i="2"/>
  <c r="N36" i="2"/>
  <c r="N30" i="2"/>
  <c r="N29" i="2"/>
  <c r="M65" i="2"/>
  <c r="M60" i="2"/>
  <c r="M55" i="2"/>
  <c r="N55" i="2" s="1"/>
  <c r="M52" i="2"/>
  <c r="M50" i="2"/>
  <c r="M29" i="2"/>
  <c r="M45" i="2"/>
  <c r="M47" i="2" s="1"/>
  <c r="M42" i="2"/>
  <c r="M36" i="2"/>
  <c r="M38" i="2" s="1"/>
  <c r="M30" i="2"/>
  <c r="K68" i="2"/>
  <c r="L69" i="2"/>
  <c r="L67" i="2"/>
  <c r="M67" i="2" s="1"/>
  <c r="L66" i="2"/>
  <c r="L68" i="2" s="1"/>
  <c r="L60" i="2"/>
  <c r="L57" i="2"/>
  <c r="L54" i="2"/>
  <c r="L53" i="2"/>
  <c r="L52" i="2"/>
  <c r="N52" i="2" s="1"/>
  <c r="L50" i="2"/>
  <c r="L42" i="2"/>
  <c r="L45" i="2" s="1"/>
  <c r="L47" i="2" s="1"/>
  <c r="L36" i="2"/>
  <c r="L30" i="2"/>
  <c r="L38" i="2" s="1"/>
  <c r="K62" i="2"/>
  <c r="L62" i="2" s="1"/>
  <c r="K57" i="2"/>
  <c r="M57" i="2" s="1"/>
  <c r="K51" i="2"/>
  <c r="L51" i="2" s="1"/>
  <c r="K42" i="2"/>
  <c r="K45" i="2" s="1"/>
  <c r="K47" i="2" s="1"/>
  <c r="K36" i="2"/>
  <c r="K30" i="2"/>
  <c r="K38" i="2" s="1"/>
  <c r="J20" i="2"/>
  <c r="J17" i="2"/>
  <c r="J15" i="2"/>
  <c r="J14" i="2"/>
  <c r="J11" i="2"/>
  <c r="J10" i="2"/>
  <c r="J12" i="2" s="1"/>
  <c r="J7" i="2"/>
  <c r="J6" i="2"/>
  <c r="J8" i="2" s="1"/>
  <c r="J4" i="2"/>
  <c r="J3" i="2"/>
  <c r="J5" i="2" s="1"/>
  <c r="N20" i="2"/>
  <c r="N17" i="2"/>
  <c r="N15" i="2"/>
  <c r="N14" i="2"/>
  <c r="N11" i="2"/>
  <c r="N10" i="2"/>
  <c r="N7" i="2"/>
  <c r="N6" i="2"/>
  <c r="N8" i="2" s="1"/>
  <c r="N4" i="2"/>
  <c r="N3" i="2"/>
  <c r="N5" i="2" s="1"/>
  <c r="AA12" i="2"/>
  <c r="AA8" i="2"/>
  <c r="AA5" i="2"/>
  <c r="AB12" i="2"/>
  <c r="AB8" i="2"/>
  <c r="AB5" i="2"/>
  <c r="AC12" i="2"/>
  <c r="AC8" i="2"/>
  <c r="AC5" i="2"/>
  <c r="G12" i="2"/>
  <c r="G8" i="2"/>
  <c r="G5" i="2"/>
  <c r="G27" i="2" s="1"/>
  <c r="I12" i="2"/>
  <c r="I8" i="2"/>
  <c r="I5" i="2"/>
  <c r="I27" i="2" s="1"/>
  <c r="M12" i="2"/>
  <c r="M8" i="2"/>
  <c r="M5" i="2"/>
  <c r="H12" i="2"/>
  <c r="H8" i="2"/>
  <c r="H5" i="2"/>
  <c r="H27" i="2" s="1"/>
  <c r="L12" i="2"/>
  <c r="L8" i="2"/>
  <c r="L5" i="2"/>
  <c r="K12" i="2"/>
  <c r="K8" i="2"/>
  <c r="K5" i="2"/>
  <c r="O12" i="2"/>
  <c r="O8" i="2"/>
  <c r="O5" i="2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J8" i="1"/>
  <c r="J6" i="1"/>
  <c r="J5" i="1"/>
  <c r="V9" i="2" l="1"/>
  <c r="V22" i="2" s="1"/>
  <c r="W27" i="2"/>
  <c r="X27" i="2"/>
  <c r="W9" i="2"/>
  <c r="W22" i="2" s="1"/>
  <c r="X9" i="2"/>
  <c r="X13" i="2" s="1"/>
  <c r="Y27" i="2"/>
  <c r="Y9" i="2"/>
  <c r="Y22" i="2" s="1"/>
  <c r="Z27" i="2"/>
  <c r="Z9" i="2"/>
  <c r="Z13" i="2" s="1"/>
  <c r="L58" i="2"/>
  <c r="L72" i="2" s="1"/>
  <c r="M51" i="2"/>
  <c r="M58" i="2" s="1"/>
  <c r="N53" i="2"/>
  <c r="M62" i="2"/>
  <c r="M63" i="2" s="1"/>
  <c r="M66" i="2"/>
  <c r="M68" i="2" s="1"/>
  <c r="N51" i="2"/>
  <c r="AB27" i="2"/>
  <c r="L29" i="2"/>
  <c r="M53" i="2"/>
  <c r="M54" i="2"/>
  <c r="N54" i="2" s="1"/>
  <c r="AC27" i="2"/>
  <c r="K58" i="2"/>
  <c r="K72" i="2" s="1"/>
  <c r="L63" i="2"/>
  <c r="O9" i="2"/>
  <c r="O22" i="2" s="1"/>
  <c r="K63" i="2"/>
  <c r="K29" i="2"/>
  <c r="N12" i="2"/>
  <c r="N27" i="2"/>
  <c r="J27" i="2"/>
  <c r="J9" i="2"/>
  <c r="J22" i="2" s="1"/>
  <c r="N9" i="2"/>
  <c r="AA9" i="2"/>
  <c r="AA22" i="2" s="1"/>
  <c r="AB9" i="2"/>
  <c r="AB13" i="2" s="1"/>
  <c r="AC9" i="2"/>
  <c r="AC13" i="2" s="1"/>
  <c r="K27" i="2"/>
  <c r="G9" i="2"/>
  <c r="I9" i="2"/>
  <c r="I13" i="2" s="1"/>
  <c r="M27" i="2"/>
  <c r="M9" i="2"/>
  <c r="H9" i="2"/>
  <c r="H13" i="2" s="1"/>
  <c r="H16" i="2" s="1"/>
  <c r="L27" i="2"/>
  <c r="L9" i="2"/>
  <c r="L13" i="2" s="1"/>
  <c r="O27" i="2"/>
  <c r="K9" i="2"/>
  <c r="V13" i="2" l="1"/>
  <c r="V23" i="2" s="1"/>
  <c r="W13" i="2"/>
  <c r="W23" i="2" s="1"/>
  <c r="W16" i="2"/>
  <c r="X22" i="2"/>
  <c r="X16" i="2"/>
  <c r="X23" i="2"/>
  <c r="Y13" i="2"/>
  <c r="Y16" i="2" s="1"/>
  <c r="Z22" i="2"/>
  <c r="Z16" i="2"/>
  <c r="Z23" i="2"/>
  <c r="L70" i="2"/>
  <c r="K70" i="2"/>
  <c r="O13" i="2"/>
  <c r="J13" i="2"/>
  <c r="J23" i="2" s="1"/>
  <c r="M72" i="2"/>
  <c r="M70" i="2"/>
  <c r="N22" i="2"/>
  <c r="N13" i="2"/>
  <c r="O23" i="2"/>
  <c r="O16" i="2"/>
  <c r="AC22" i="2"/>
  <c r="AA13" i="2"/>
  <c r="AA23" i="2" s="1"/>
  <c r="AB22" i="2"/>
  <c r="AB23" i="2"/>
  <c r="AB16" i="2"/>
  <c r="AC16" i="2"/>
  <c r="AC23" i="2"/>
  <c r="G13" i="2"/>
  <c r="G22" i="2"/>
  <c r="I22" i="2"/>
  <c r="I16" i="2"/>
  <c r="I23" i="2"/>
  <c r="M22" i="2"/>
  <c r="M13" i="2"/>
  <c r="H23" i="2"/>
  <c r="H22" i="2"/>
  <c r="H25" i="2"/>
  <c r="H18" i="2"/>
  <c r="L22" i="2"/>
  <c r="L16" i="2"/>
  <c r="L23" i="2"/>
  <c r="K22" i="2"/>
  <c r="K13" i="2"/>
  <c r="V16" i="2" l="1"/>
  <c r="V18" i="2" s="1"/>
  <c r="W25" i="2"/>
  <c r="W18" i="2"/>
  <c r="X25" i="2"/>
  <c r="X18" i="2"/>
  <c r="Y23" i="2"/>
  <c r="Y25" i="2"/>
  <c r="Y18" i="2"/>
  <c r="Z25" i="2"/>
  <c r="Z18" i="2"/>
  <c r="J16" i="2"/>
  <c r="O18" i="2"/>
  <c r="O25" i="2"/>
  <c r="J18" i="2"/>
  <c r="J25" i="2"/>
  <c r="N16" i="2"/>
  <c r="N23" i="2"/>
  <c r="AA16" i="2"/>
  <c r="AA25" i="2" s="1"/>
  <c r="AB25" i="2"/>
  <c r="AB18" i="2"/>
  <c r="AC25" i="2"/>
  <c r="AC18" i="2"/>
  <c r="G16" i="2"/>
  <c r="G23" i="2"/>
  <c r="I25" i="2"/>
  <c r="I18" i="2"/>
  <c r="M16" i="2"/>
  <c r="M23" i="2"/>
  <c r="H24" i="2"/>
  <c r="H19" i="2"/>
  <c r="L25" i="2"/>
  <c r="L18" i="2"/>
  <c r="L49" i="2" s="1"/>
  <c r="K23" i="2"/>
  <c r="K16" i="2"/>
  <c r="V25" i="2" l="1"/>
  <c r="V24" i="2"/>
  <c r="V19" i="2"/>
  <c r="W24" i="2"/>
  <c r="W19" i="2"/>
  <c r="X24" i="2"/>
  <c r="X19" i="2"/>
  <c r="Y24" i="2"/>
  <c r="Y19" i="2"/>
  <c r="Z24" i="2"/>
  <c r="Z19" i="2"/>
  <c r="N25" i="2"/>
  <c r="N18" i="2"/>
  <c r="N49" i="2" s="1"/>
  <c r="J24" i="2"/>
  <c r="J19" i="2"/>
  <c r="O24" i="2"/>
  <c r="O19" i="2"/>
  <c r="AA18" i="2"/>
  <c r="AA24" i="2" s="1"/>
  <c r="AB24" i="2"/>
  <c r="AB19" i="2"/>
  <c r="AC24" i="2"/>
  <c r="AC19" i="2"/>
  <c r="G25" i="2"/>
  <c r="G18" i="2"/>
  <c r="I24" i="2"/>
  <c r="I19" i="2"/>
  <c r="M25" i="2"/>
  <c r="M18" i="2"/>
  <c r="M49" i="2" s="1"/>
  <c r="L24" i="2"/>
  <c r="L19" i="2"/>
  <c r="K25" i="2"/>
  <c r="K18" i="2"/>
  <c r="K49" i="2" s="1"/>
  <c r="N19" i="2" l="1"/>
  <c r="N24" i="2"/>
  <c r="AA19" i="2"/>
  <c r="G24" i="2"/>
  <c r="G19" i="2"/>
  <c r="M24" i="2"/>
  <c r="M19" i="2"/>
  <c r="K24" i="2"/>
  <c r="K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</authors>
  <commentList>
    <comment ref="P5" authorId="0" shapeId="0" xr:uid="{EA8CBCB9-5744-4331-B5B1-815CAA864650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Outlook
47m - 51m</t>
        </r>
      </text>
    </comment>
  </commentList>
</comments>
</file>

<file path=xl/sharedStrings.xml><?xml version="1.0" encoding="utf-8"?>
<sst xmlns="http://schemas.openxmlformats.org/spreadsheetml/2006/main" count="86" uniqueCount="79">
  <si>
    <t>Price</t>
  </si>
  <si>
    <t>Shares</t>
  </si>
  <si>
    <t>MC</t>
  </si>
  <si>
    <t>Cash</t>
  </si>
  <si>
    <t>Debt</t>
  </si>
  <si>
    <t>EV</t>
  </si>
  <si>
    <t>Revenue</t>
  </si>
  <si>
    <t>Products</t>
  </si>
  <si>
    <t>Development</t>
  </si>
  <si>
    <t>COGS</t>
  </si>
  <si>
    <t>R&amp;D</t>
  </si>
  <si>
    <t>SG&amp;A</t>
  </si>
  <si>
    <t>OpEx</t>
  </si>
  <si>
    <t>OpInc</t>
  </si>
  <si>
    <t>Interest income</t>
  </si>
  <si>
    <t>Other income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</si>
  <si>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</si>
  <si>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</si>
  <si>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</si>
  <si>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</si>
  <si>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</si>
  <si>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</si>
  <si>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</si>
  <si>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</si>
  <si>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</si>
  <si>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</si>
  <si>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</si>
  <si>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</si>
  <si>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</si>
  <si>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</si>
  <si>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</si>
  <si>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</si>
  <si>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</si>
  <si>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Q223</t>
  </si>
  <si>
    <t>Q123</t>
  </si>
  <si>
    <t>Q324</t>
  </si>
  <si>
    <t>Q323</t>
  </si>
  <si>
    <t>Q423</t>
  </si>
  <si>
    <t>Q124</t>
  </si>
  <si>
    <t>Q224</t>
  </si>
  <si>
    <t>Q424</t>
  </si>
  <si>
    <t>Gross profit</t>
  </si>
  <si>
    <t>Net cash</t>
  </si>
  <si>
    <t>A/R</t>
  </si>
  <si>
    <t>Inventory</t>
  </si>
  <si>
    <t>Prepaid</t>
  </si>
  <si>
    <t>Lease</t>
  </si>
  <si>
    <t>PP&amp;E</t>
  </si>
  <si>
    <t>Goodwill</t>
  </si>
  <si>
    <t>Other</t>
  </si>
  <si>
    <t>Assets</t>
  </si>
  <si>
    <t>A/P</t>
  </si>
  <si>
    <t>Accrued liabilties</t>
  </si>
  <si>
    <t>DR</t>
  </si>
  <si>
    <t>Taxes payable</t>
  </si>
  <si>
    <t>Liabilties</t>
  </si>
  <si>
    <t>S/E</t>
  </si>
  <si>
    <t>L+S/E</t>
  </si>
  <si>
    <t>Model NI</t>
  </si>
  <si>
    <t>Reported NI</t>
  </si>
  <si>
    <t>D&amp;A</t>
  </si>
  <si>
    <t>Right of use</t>
  </si>
  <si>
    <t>SBC</t>
  </si>
  <si>
    <t>DT</t>
  </si>
  <si>
    <t>Working capital</t>
  </si>
  <si>
    <t>CFFO</t>
  </si>
  <si>
    <t>CapEx</t>
  </si>
  <si>
    <t>Acquisition</t>
  </si>
  <si>
    <t>Securities</t>
  </si>
  <si>
    <t>CFFI</t>
  </si>
  <si>
    <t>Options</t>
  </si>
  <si>
    <t>Tax SBC</t>
  </si>
  <si>
    <t>CFFF</t>
  </si>
  <si>
    <t>FX</t>
  </si>
  <si>
    <t>CIC</t>
  </si>
  <si>
    <t>FCF</t>
  </si>
  <si>
    <t>TTM</t>
  </si>
  <si>
    <t>ESOP</t>
  </si>
  <si>
    <t>Loss on disposal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</si>
</sst>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"/>
    <numFmt numFmtId="168" formatCode="0\x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4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168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0</xdr:row>
      <xdr:rowOff>28575</xdr:rowOff>
    </xdr:from>
    <xdr:to>
      <xdr:col>29</xdr:col>
      <xdr:colOff>9525</xdr:colOff>
      <xdr:row>37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DA00228-FE54-8831-A43E-511DA9CBEDD3}"/>
            </a:ext>
          </a:extLst>
        </xdr:cNvPr>
        <xdr:cNvCxnSpPr/>
      </xdr:nvCxnSpPr>
      <xdr:spPr>
        <a:xfrm>
          <a:off x="17792700" y="28575"/>
          <a:ext cx="0" cy="6010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0</xdr:row>
      <xdr:rowOff>19050</xdr:rowOff>
    </xdr:from>
    <xdr:to>
      <xdr:col>15</xdr:col>
      <xdr:colOff>9525</xdr:colOff>
      <xdr:row>76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BEE683A-F2EB-459D-8473-C5111A0E80D2}"/>
            </a:ext>
          </a:extLst>
        </xdr:cNvPr>
        <xdr:cNvCxnSpPr/>
      </xdr:nvCxnSpPr>
      <xdr:spPr>
        <a:xfrm>
          <a:off x="9258300" y="19050"/>
          <a:ext cx="0" cy="12315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239C-55C2-4C2A-8D44-8181EE7753F1}">
  <dimension ref="I3:J9"/>
  <sheetViews>
    <sheetView workbookViewId="0">
      <selection activeCell="J10" sqref="J10"/>
    </sheetView>
  </sheetViews>
  <sheetFormatPr defaultRowHeight="12.75" x14ac:dyDescent="0.2"/>
  <sheetData>
    <row r="3" spans="9:10" x14ac:dyDescent="0.2">
      <c r="I3" t="s">
        <v>0</v>
      </c>
      <c r="J3" s="1">
        <v>13</v>
      </c>
    </row>
    <row r="4" spans="9:10" x14ac:dyDescent="0.2">
      <c r="I4" t="s">
        <v>1</v>
      </c>
      <c r="J4" s="1">
        <v>47.565204000000001</v>
      </c>
    </row>
    <row r="5" spans="9:10" x14ac:dyDescent="0.2">
      <c r="I5" t="s">
        <v>2</v>
      </c>
      <c r="J5" s="1">
        <f>+J3*J4</f>
        <v>618.34765200000004</v>
      </c>
    </row>
    <row r="6" spans="9:10" x14ac:dyDescent="0.2">
      <c r="I6" t="s">
        <v>3</v>
      </c>
      <c r="J6" s="1">
        <f>61.306+59.775+0.257</f>
        <v>121.33799999999999</v>
      </c>
    </row>
    <row r="7" spans="9:10" x14ac:dyDescent="0.2">
      <c r="I7" t="s">
        <v>4</v>
      </c>
      <c r="J7" s="1">
        <v>0</v>
      </c>
    </row>
    <row r="8" spans="9:10" x14ac:dyDescent="0.2">
      <c r="I8" t="s">
        <v>5</v>
      </c>
      <c r="J8" s="1">
        <f>+J5-J6+J7</f>
        <v>497.00965200000007</v>
      </c>
    </row>
    <row r="9" spans="9:10" x14ac:dyDescent="0.2">
      <c r="J9" s="9">
        <f>+J8/15</f>
        <v>33.133976800000006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C672-73FE-45BB-B4EB-BC1C297EDDFF}">
  <dimension ref="B1:AS7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7" sqref="D7"/>
    </sheetView>
  </sheetViews>
  <sheetFormatPr defaultRowHeight="12.75" x14ac:dyDescent="0.2"/>
  <cols>
    <col min="1" max="1" width="2.5703125" style="1" customWidth="1"/>
    <col min="2" max="2" width="15.28515625" style="1" bestFit="1" customWidth="1"/>
    <col min="3" max="9" width="9.140625" style="1"/>
    <col min="10" max="10" width="10.140625" style="1" bestFit="1" customWidth="1"/>
    <col min="11" max="13" width="9.140625" style="1"/>
    <col min="14" max="14" width="10.140625" style="1" bestFit="1" customWidth="1"/>
    <col min="15" max="16384" width="9.140625" style="1"/>
  </cols>
  <sheetData>
    <row r="1" spans="2:45" s="6" customFormat="1" x14ac:dyDescent="0.2">
      <c r="G1" s="6">
        <v>44651</v>
      </c>
      <c r="H1" s="6">
        <v>44742</v>
      </c>
      <c r="I1" s="6">
        <v>44834</v>
      </c>
      <c r="J1" s="6">
        <v>44926</v>
      </c>
      <c r="K1" s="6">
        <v>45016</v>
      </c>
      <c r="L1" s="6">
        <v>45107</v>
      </c>
      <c r="M1" s="6">
        <v>45199</v>
      </c>
      <c r="N1" s="6">
        <v>45291</v>
      </c>
      <c r="O1" s="6">
        <v>45382</v>
      </c>
    </row>
    <row r="2" spans="2:45" s="4" customFormat="1" x14ac:dyDescent="0.2"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34</v>
      </c>
      <c r="L2" s="4" t="s">
        <v>33</v>
      </c>
      <c r="M2" s="4" t="s">
        <v>36</v>
      </c>
      <c r="N2" s="4" t="s">
        <v>37</v>
      </c>
      <c r="O2" s="4" t="s">
        <v>38</v>
      </c>
      <c r="P2" s="4" t="s">
        <v>39</v>
      </c>
      <c r="Q2" s="4" t="s">
        <v>35</v>
      </c>
      <c r="R2" s="4" t="s">
        <v>40</v>
      </c>
      <c r="T2" s="5">
        <v>2014</v>
      </c>
      <c r="U2" s="5">
        <f>+T2+1</f>
        <v>2015</v>
      </c>
      <c r="V2" s="5">
        <f t="shared" ref="V2:AS2" si="0">+U2+1</f>
        <v>2016</v>
      </c>
      <c r="W2" s="5">
        <f t="shared" si="0"/>
        <v>2017</v>
      </c>
      <c r="X2" s="5">
        <f t="shared" si="0"/>
        <v>2018</v>
      </c>
      <c r="Y2" s="5">
        <f t="shared" si="0"/>
        <v>2019</v>
      </c>
      <c r="Z2" s="5">
        <f t="shared" si="0"/>
        <v>2020</v>
      </c>
      <c r="AA2" s="5">
        <f t="shared" si="0"/>
        <v>2021</v>
      </c>
      <c r="AB2" s="5">
        <f t="shared" si="0"/>
        <v>2022</v>
      </c>
      <c r="AC2" s="5">
        <f t="shared" si="0"/>
        <v>2023</v>
      </c>
      <c r="AD2" s="5">
        <f t="shared" si="0"/>
        <v>2024</v>
      </c>
      <c r="AE2" s="5">
        <f t="shared" si="0"/>
        <v>2025</v>
      </c>
      <c r="AF2" s="5">
        <f t="shared" si="0"/>
        <v>2026</v>
      </c>
      <c r="AG2" s="5">
        <f t="shared" si="0"/>
        <v>2027</v>
      </c>
      <c r="AH2" s="5">
        <f t="shared" si="0"/>
        <v>2028</v>
      </c>
      <c r="AI2" s="5">
        <f t="shared" si="0"/>
        <v>2029</v>
      </c>
      <c r="AJ2" s="5">
        <f t="shared" si="0"/>
        <v>2030</v>
      </c>
      <c r="AK2" s="5">
        <f t="shared" si="0"/>
        <v>2031</v>
      </c>
      <c r="AL2" s="5">
        <f t="shared" si="0"/>
        <v>2032</v>
      </c>
      <c r="AM2" s="5">
        <f t="shared" si="0"/>
        <v>2033</v>
      </c>
      <c r="AN2" s="5">
        <f t="shared" si="0"/>
        <v>2034</v>
      </c>
      <c r="AO2" s="5">
        <f t="shared" si="0"/>
        <v>2035</v>
      </c>
      <c r="AP2" s="5">
        <f t="shared" si="0"/>
        <v>2036</v>
      </c>
      <c r="AQ2" s="5">
        <f t="shared" si="0"/>
        <v>2037</v>
      </c>
      <c r="AR2" s="5">
        <f t="shared" si="0"/>
        <v>2038</v>
      </c>
      <c r="AS2" s="5">
        <f t="shared" si="0"/>
        <v>2039</v>
      </c>
    </row>
    <row r="3" spans="2:45" x14ac:dyDescent="0.2">
      <c r="B3" s="1" t="s">
        <v>7</v>
      </c>
      <c r="G3" s="1">
        <v>51.061</v>
      </c>
      <c r="H3" s="1">
        <v>48.18</v>
      </c>
      <c r="I3" s="1">
        <v>48.042000000000002</v>
      </c>
      <c r="J3" s="1">
        <f>+AB3-SUM(G3:I3)</f>
        <v>45.374999999999972</v>
      </c>
      <c r="K3" s="1">
        <v>41.106999999999999</v>
      </c>
      <c r="L3" s="1">
        <v>39.591999999999999</v>
      </c>
      <c r="M3" s="1">
        <v>38.103000000000002</v>
      </c>
      <c r="N3" s="1">
        <f>+AC3-SUM(K3:M3)</f>
        <v>37.864000000000004</v>
      </c>
      <c r="O3" s="1">
        <v>29.37</v>
      </c>
      <c r="P3" s="1">
        <v>34</v>
      </c>
      <c r="V3" s="1">
        <v>101.325</v>
      </c>
      <c r="W3" s="1">
        <v>138.58000000000001</v>
      </c>
      <c r="X3" s="1">
        <v>191.35900000000001</v>
      </c>
      <c r="Y3" s="1">
        <v>174.059</v>
      </c>
      <c r="Z3" s="1">
        <v>184.84100000000001</v>
      </c>
      <c r="AA3" s="1">
        <v>206.19499999999999</v>
      </c>
      <c r="AB3" s="1">
        <v>192.65799999999999</v>
      </c>
      <c r="AC3" s="1">
        <v>156.666</v>
      </c>
    </row>
    <row r="4" spans="2:45" x14ac:dyDescent="0.2">
      <c r="B4" s="1" t="s">
        <v>8</v>
      </c>
      <c r="G4" s="1">
        <v>13.398</v>
      </c>
      <c r="H4" s="1">
        <v>12.647</v>
      </c>
      <c r="I4" s="1">
        <v>12.051</v>
      </c>
      <c r="J4" s="1">
        <f>+AB4-SUM(G4:I4)</f>
        <v>11.303999999999995</v>
      </c>
      <c r="K4" s="1">
        <v>12.984</v>
      </c>
      <c r="L4" s="1">
        <v>13.712</v>
      </c>
      <c r="M4" s="1">
        <v>12.531000000000001</v>
      </c>
      <c r="N4" s="1">
        <f>+AC4-SUM(K4:M4)</f>
        <v>14.028000000000006</v>
      </c>
      <c r="O4" s="1">
        <v>15.157</v>
      </c>
      <c r="P4" s="1">
        <v>15</v>
      </c>
      <c r="V4" s="1">
        <v>0</v>
      </c>
      <c r="W4" s="1">
        <v>0</v>
      </c>
      <c r="X4" s="1">
        <v>0</v>
      </c>
      <c r="Y4" s="1">
        <v>2.56</v>
      </c>
      <c r="Z4" s="1">
        <v>37.948</v>
      </c>
      <c r="AA4" s="1">
        <v>63.951000000000001</v>
      </c>
      <c r="AB4" s="1">
        <v>49.4</v>
      </c>
      <c r="AC4" s="1">
        <v>53.255000000000003</v>
      </c>
    </row>
    <row r="5" spans="2:45" s="2" customFormat="1" x14ac:dyDescent="0.2">
      <c r="B5" s="2" t="s">
        <v>6</v>
      </c>
      <c r="G5" s="2">
        <f>+G3+G4</f>
        <v>64.459000000000003</v>
      </c>
      <c r="H5" s="2">
        <f>+H3+H4</f>
        <v>60.826999999999998</v>
      </c>
      <c r="I5" s="2">
        <f>+I3+I4</f>
        <v>60.093000000000004</v>
      </c>
      <c r="J5" s="2">
        <f>+J3+J4</f>
        <v>56.678999999999967</v>
      </c>
      <c r="K5" s="2">
        <f>+K3+K4</f>
        <v>54.091000000000001</v>
      </c>
      <c r="L5" s="2">
        <f>+L3+L4</f>
        <v>53.304000000000002</v>
      </c>
      <c r="M5" s="2">
        <f>+M3+M4</f>
        <v>50.634</v>
      </c>
      <c r="N5" s="2">
        <f>+N3+N4</f>
        <v>51.89200000000001</v>
      </c>
      <c r="O5" s="2">
        <f>+O3+O4</f>
        <v>44.527000000000001</v>
      </c>
      <c r="P5" s="2">
        <v>49</v>
      </c>
      <c r="V5" s="2">
        <f>+V3+V4</f>
        <v>101.325</v>
      </c>
      <c r="W5" s="2">
        <f>+W3+W4</f>
        <v>138.58000000000001</v>
      </c>
      <c r="X5" s="2">
        <f>+X3+X4</f>
        <v>191.35900000000001</v>
      </c>
      <c r="Y5" s="2">
        <f>+Y3+Y4</f>
        <v>176.619</v>
      </c>
      <c r="Z5" s="2">
        <f>+Z3+Z4</f>
        <v>222.78900000000002</v>
      </c>
      <c r="AA5" s="2">
        <f>+AA3+AA4</f>
        <v>270.14600000000002</v>
      </c>
      <c r="AB5" s="2">
        <f>+AB3+AB4</f>
        <v>242.05799999999999</v>
      </c>
      <c r="AC5" s="2">
        <f>+AC3+AC4</f>
        <v>209.92099999999999</v>
      </c>
    </row>
    <row r="6" spans="2:45" x14ac:dyDescent="0.2">
      <c r="B6" s="1" t="s">
        <v>7</v>
      </c>
      <c r="G6" s="1">
        <v>35.768000000000001</v>
      </c>
      <c r="H6" s="1">
        <v>33.683</v>
      </c>
      <c r="I6" s="1">
        <v>35.35</v>
      </c>
      <c r="J6" s="1">
        <f>+AB6-SUM(G6:I6)</f>
        <v>40.471000000000004</v>
      </c>
      <c r="K6" s="1">
        <v>27.526</v>
      </c>
      <c r="L6" s="1">
        <v>28.271999999999998</v>
      </c>
      <c r="M6" s="1">
        <v>29.015000000000001</v>
      </c>
      <c r="N6" s="1">
        <f>+AC6-SUM(K6:M6)</f>
        <v>29.367999999999995</v>
      </c>
      <c r="O6" s="1">
        <v>23.231000000000002</v>
      </c>
      <c r="V6" s="1">
        <v>78.159000000000006</v>
      </c>
      <c r="W6" s="1">
        <v>94.305999999999997</v>
      </c>
      <c r="X6" s="1">
        <v>124.398</v>
      </c>
      <c r="Y6" s="1">
        <v>122.01300000000001</v>
      </c>
      <c r="Z6" s="1">
        <v>128.255</v>
      </c>
      <c r="AA6" s="1">
        <v>132.86699999999999</v>
      </c>
      <c r="AB6" s="1">
        <v>145.27199999999999</v>
      </c>
      <c r="AC6" s="1">
        <v>114.181</v>
      </c>
    </row>
    <row r="7" spans="2:45" x14ac:dyDescent="0.2">
      <c r="B7" s="1" t="s">
        <v>8</v>
      </c>
      <c r="G7" s="1">
        <v>12.513999999999999</v>
      </c>
      <c r="H7" s="1">
        <v>11.759</v>
      </c>
      <c r="I7" s="1">
        <v>11.266999999999999</v>
      </c>
      <c r="J7" s="1">
        <f>+AB7-SUM(G7:I7)</f>
        <v>10.425000000000004</v>
      </c>
      <c r="K7" s="1">
        <v>12.302</v>
      </c>
      <c r="L7" s="1">
        <v>12.923999999999999</v>
      </c>
      <c r="M7" s="1">
        <v>11.680999999999999</v>
      </c>
      <c r="N7" s="1">
        <f>+AC7-SUM(K7:M7)</f>
        <v>12.720000000000006</v>
      </c>
      <c r="O7" s="1">
        <v>13.808</v>
      </c>
      <c r="V7" s="1">
        <v>0</v>
      </c>
      <c r="W7" s="1">
        <v>0</v>
      </c>
      <c r="X7" s="1">
        <v>0</v>
      </c>
      <c r="Y7" s="1">
        <v>2.2669999999999999</v>
      </c>
      <c r="Z7" s="1">
        <v>35.17</v>
      </c>
      <c r="AA7" s="1">
        <v>59.972000000000001</v>
      </c>
      <c r="AB7" s="1">
        <v>45.965000000000003</v>
      </c>
      <c r="AC7" s="1">
        <v>49.627000000000002</v>
      </c>
    </row>
    <row r="8" spans="2:45" x14ac:dyDescent="0.2">
      <c r="B8" s="1" t="s">
        <v>9</v>
      </c>
      <c r="G8" s="1">
        <f>+G6+G7</f>
        <v>48.281999999999996</v>
      </c>
      <c r="H8" s="1">
        <f>+H6+H7</f>
        <v>45.442</v>
      </c>
      <c r="I8" s="1">
        <f>+I6+I7</f>
        <v>46.617000000000004</v>
      </c>
      <c r="J8" s="1">
        <f>+J6+J7</f>
        <v>50.896000000000008</v>
      </c>
      <c r="K8" s="1">
        <f>+K6+K7</f>
        <v>39.828000000000003</v>
      </c>
      <c r="L8" s="1">
        <f>+L6+L7</f>
        <v>41.195999999999998</v>
      </c>
      <c r="M8" s="1">
        <f>+M6+M7</f>
        <v>40.695999999999998</v>
      </c>
      <c r="N8" s="1">
        <f>+N6+N7</f>
        <v>42.088000000000001</v>
      </c>
      <c r="O8" s="1">
        <f>+O6+O7</f>
        <v>37.039000000000001</v>
      </c>
      <c r="V8" s="1">
        <f>+V6+V7</f>
        <v>78.159000000000006</v>
      </c>
      <c r="W8" s="1">
        <f>+W6+W7</f>
        <v>94.305999999999997</v>
      </c>
      <c r="X8" s="1">
        <f>+X6+X7</f>
        <v>124.398</v>
      </c>
      <c r="Y8" s="1">
        <f>+Y6+Y7</f>
        <v>124.28</v>
      </c>
      <c r="Z8" s="1">
        <f>+Z6+Z7</f>
        <v>163.42500000000001</v>
      </c>
      <c r="AA8" s="1">
        <f>+AA6+AA7</f>
        <v>192.839</v>
      </c>
      <c r="AB8" s="1">
        <f>+AB6+AB7</f>
        <v>191.23699999999999</v>
      </c>
      <c r="AC8" s="1">
        <f>+AC6+AC7</f>
        <v>163.80799999999999</v>
      </c>
    </row>
    <row r="9" spans="2:45" s="2" customFormat="1" x14ac:dyDescent="0.2">
      <c r="B9" s="2" t="s">
        <v>41</v>
      </c>
      <c r="G9" s="2">
        <f>+G5-G8</f>
        <v>16.177000000000007</v>
      </c>
      <c r="H9" s="2">
        <f>+H5-H8</f>
        <v>15.384999999999998</v>
      </c>
      <c r="I9" s="2">
        <f>+I5-I8</f>
        <v>13.475999999999999</v>
      </c>
      <c r="J9" s="2">
        <f>+J5-J8</f>
        <v>5.7829999999999586</v>
      </c>
      <c r="K9" s="2">
        <f>+K5-K8</f>
        <v>14.262999999999998</v>
      </c>
      <c r="L9" s="2">
        <f>+L5-L8</f>
        <v>12.108000000000004</v>
      </c>
      <c r="M9" s="2">
        <f>+M5-M8</f>
        <v>9.9380000000000024</v>
      </c>
      <c r="N9" s="2">
        <f>+N5-N8</f>
        <v>9.8040000000000092</v>
      </c>
      <c r="O9" s="2">
        <f>+O5-O8</f>
        <v>7.4879999999999995</v>
      </c>
      <c r="V9" s="2">
        <f>+V5-V8</f>
        <v>23.165999999999997</v>
      </c>
      <c r="W9" s="2">
        <f>+W5-W8</f>
        <v>44.274000000000015</v>
      </c>
      <c r="X9" s="2">
        <f>+X5-X8</f>
        <v>66.961000000000013</v>
      </c>
      <c r="Y9" s="2">
        <f>+Y5-Y8</f>
        <v>52.338999999999999</v>
      </c>
      <c r="Z9" s="2">
        <f>+Z5-Z8</f>
        <v>59.364000000000004</v>
      </c>
      <c r="AA9" s="2">
        <f>+AA5-AA8</f>
        <v>77.307000000000016</v>
      </c>
      <c r="AB9" s="2">
        <f>+AB5-AB8</f>
        <v>50.820999999999998</v>
      </c>
      <c r="AC9" s="2">
        <f>+AC5-AC8</f>
        <v>46.113</v>
      </c>
    </row>
    <row r="10" spans="2:45" x14ac:dyDescent="0.2">
      <c r="B10" s="1" t="s">
        <v>10</v>
      </c>
      <c r="G10" s="1">
        <v>13.711</v>
      </c>
      <c r="H10" s="1">
        <v>13.788</v>
      </c>
      <c r="I10" s="1">
        <v>12.715999999999999</v>
      </c>
      <c r="J10" s="1">
        <f>+AB10-SUM(G10:I10)</f>
        <v>13.558</v>
      </c>
      <c r="K10" s="1">
        <v>11.301</v>
      </c>
      <c r="L10" s="1">
        <v>12.004</v>
      </c>
      <c r="M10" s="1">
        <v>10.744</v>
      </c>
      <c r="N10" s="1">
        <f>+AC10-SUM(K10:M10)</f>
        <v>12.113999999999997</v>
      </c>
      <c r="O10" s="1">
        <v>10.659000000000001</v>
      </c>
      <c r="V10" s="1">
        <v>15.239000000000001</v>
      </c>
      <c r="W10" s="1">
        <v>15.122999999999999</v>
      </c>
      <c r="X10" s="1">
        <v>21.053999999999998</v>
      </c>
      <c r="Y10" s="1">
        <v>28.137</v>
      </c>
      <c r="Z10" s="1">
        <v>41.164000000000001</v>
      </c>
      <c r="AA10" s="1">
        <v>54.814</v>
      </c>
      <c r="AB10" s="1">
        <v>53.773000000000003</v>
      </c>
      <c r="AC10" s="1">
        <v>46.162999999999997</v>
      </c>
    </row>
    <row r="11" spans="2:45" x14ac:dyDescent="0.2">
      <c r="B11" s="1" t="s">
        <v>11</v>
      </c>
      <c r="G11" s="1">
        <v>10.775</v>
      </c>
      <c r="H11" s="1">
        <v>11.914</v>
      </c>
      <c r="I11" s="1">
        <v>13.741</v>
      </c>
      <c r="J11" s="1">
        <f>+AB11-SUM(G11:I11)</f>
        <v>11.828000000000003</v>
      </c>
      <c r="K11" s="1">
        <v>11.169</v>
      </c>
      <c r="L11" s="1">
        <v>11.79</v>
      </c>
      <c r="M11" s="1">
        <v>11.725</v>
      </c>
      <c r="N11" s="1">
        <f>+AC11-SUM(K11:M11)</f>
        <v>11.215000000000003</v>
      </c>
      <c r="O11" s="1">
        <v>11.547000000000001</v>
      </c>
      <c r="V11" s="1">
        <v>17.265000000000001</v>
      </c>
      <c r="W11" s="1">
        <v>19.353000000000002</v>
      </c>
      <c r="X11" s="1">
        <v>28.844000000000001</v>
      </c>
      <c r="Y11" s="1">
        <v>34.110999999999997</v>
      </c>
      <c r="Z11" s="1">
        <v>39.247999999999998</v>
      </c>
      <c r="AA11" s="1">
        <v>52.71</v>
      </c>
      <c r="AB11" s="1">
        <v>48.258000000000003</v>
      </c>
      <c r="AC11" s="1">
        <v>45.899000000000001</v>
      </c>
    </row>
    <row r="12" spans="2:45" x14ac:dyDescent="0.2">
      <c r="B12" s="1" t="s">
        <v>12</v>
      </c>
      <c r="G12" s="1">
        <f>+G10+G11</f>
        <v>24.486000000000001</v>
      </c>
      <c r="H12" s="1">
        <f>+H10+H11</f>
        <v>25.701999999999998</v>
      </c>
      <c r="I12" s="1">
        <f>+I10+I11</f>
        <v>26.457000000000001</v>
      </c>
      <c r="J12" s="1">
        <f>+J10+J11</f>
        <v>25.386000000000003</v>
      </c>
      <c r="K12" s="1">
        <f>+K10+K11</f>
        <v>22.47</v>
      </c>
      <c r="L12" s="1">
        <f>+L10+L11</f>
        <v>23.793999999999997</v>
      </c>
      <c r="M12" s="1">
        <f>+M10+M11</f>
        <v>22.469000000000001</v>
      </c>
      <c r="N12" s="1">
        <f>+N10+N11</f>
        <v>23.329000000000001</v>
      </c>
      <c r="O12" s="1">
        <f>+O10+O11</f>
        <v>22.206000000000003</v>
      </c>
      <c r="V12" s="1">
        <f>+V10+V11</f>
        <v>32.504000000000005</v>
      </c>
      <c r="W12" s="1">
        <f>+W10+W11</f>
        <v>34.475999999999999</v>
      </c>
      <c r="X12" s="1">
        <f>+X10+X11</f>
        <v>49.897999999999996</v>
      </c>
      <c r="Y12" s="1">
        <f>+Y10+Y11</f>
        <v>62.247999999999998</v>
      </c>
      <c r="Z12" s="1">
        <f>+Z10+Z11</f>
        <v>80.412000000000006</v>
      </c>
      <c r="AA12" s="1">
        <f>+AA10+AA11</f>
        <v>107.524</v>
      </c>
      <c r="AB12" s="1">
        <f>+AB10+AB11</f>
        <v>102.03100000000001</v>
      </c>
      <c r="AC12" s="1">
        <f>+AC10+AC11</f>
        <v>92.061999999999998</v>
      </c>
    </row>
    <row r="13" spans="2:45" s="2" customFormat="1" x14ac:dyDescent="0.2">
      <c r="B13" s="2" t="s">
        <v>13</v>
      </c>
      <c r="G13" s="2">
        <f>+G9-G12</f>
        <v>-8.3089999999999939</v>
      </c>
      <c r="H13" s="2">
        <f>+H9-H12</f>
        <v>-10.317</v>
      </c>
      <c r="I13" s="2">
        <f>+I9-I12</f>
        <v>-12.981000000000002</v>
      </c>
      <c r="J13" s="2">
        <f>+J9-J12</f>
        <v>-19.603000000000044</v>
      </c>
      <c r="K13" s="2">
        <f>+K9-K12</f>
        <v>-8.2070000000000007</v>
      </c>
      <c r="L13" s="2">
        <f>+L9-L12</f>
        <v>-11.685999999999993</v>
      </c>
      <c r="M13" s="2">
        <f>+M9-M12</f>
        <v>-12.530999999999999</v>
      </c>
      <c r="N13" s="2">
        <f>+N9-N12</f>
        <v>-13.524999999999991</v>
      </c>
      <c r="O13" s="2">
        <f>+O9-O12</f>
        <v>-14.718000000000004</v>
      </c>
      <c r="V13" s="2">
        <f>+V9-V12</f>
        <v>-9.3380000000000081</v>
      </c>
      <c r="W13" s="2">
        <f>+W9-W12</f>
        <v>9.798000000000016</v>
      </c>
      <c r="X13" s="2">
        <f>+X9-X12</f>
        <v>17.063000000000017</v>
      </c>
      <c r="Y13" s="2">
        <f>+Y9-Y12</f>
        <v>-9.9089999999999989</v>
      </c>
      <c r="Z13" s="2">
        <f>+Z9-Z12</f>
        <v>-21.048000000000002</v>
      </c>
      <c r="AA13" s="2">
        <f>+AA9-AA12</f>
        <v>-30.216999999999985</v>
      </c>
      <c r="AB13" s="2">
        <f>+AB9-AB12</f>
        <v>-51.210000000000008</v>
      </c>
      <c r="AC13" s="2">
        <f>+AC9-AC12</f>
        <v>-45.948999999999998</v>
      </c>
    </row>
    <row r="14" spans="2:45" x14ac:dyDescent="0.2">
      <c r="B14" s="1" t="s">
        <v>14</v>
      </c>
      <c r="G14" s="1">
        <v>0</v>
      </c>
      <c r="H14" s="1">
        <v>7.0999999999999994E-2</v>
      </c>
      <c r="I14" s="1">
        <v>0.16700000000000001</v>
      </c>
      <c r="J14" s="1">
        <f>+AB14-SUM(G14:I14)</f>
        <v>0.29100000000000004</v>
      </c>
      <c r="K14" s="1">
        <v>0.33700000000000002</v>
      </c>
      <c r="L14" s="1">
        <v>0.35</v>
      </c>
      <c r="M14" s="1">
        <v>0.30299999999999999</v>
      </c>
      <c r="N14" s="1">
        <f>+AC14-SUM(K14:M14)</f>
        <v>0.35200000000000009</v>
      </c>
      <c r="O14" s="1">
        <v>0.45500000000000002</v>
      </c>
      <c r="V14" s="1">
        <v>-2.2290000000000001</v>
      </c>
      <c r="W14" s="1">
        <v>-1.2689999999999999</v>
      </c>
      <c r="X14" s="1">
        <v>0.72799999999999998</v>
      </c>
      <c r="Y14" s="1">
        <v>2.609</v>
      </c>
      <c r="Z14" s="1">
        <v>7.8E-2</v>
      </c>
      <c r="AA14" s="1">
        <v>-0.16300000000000001</v>
      </c>
      <c r="AB14" s="1">
        <v>0.52900000000000003</v>
      </c>
      <c r="AC14" s="1">
        <v>1.3420000000000001</v>
      </c>
    </row>
    <row r="15" spans="2:45" x14ac:dyDescent="0.2">
      <c r="B15" s="1" t="s">
        <v>15</v>
      </c>
      <c r="G15" s="1">
        <v>2.9000000000000001E-2</v>
      </c>
      <c r="H15" s="1">
        <v>-0.106</v>
      </c>
      <c r="I15" s="1">
        <v>-3.1E-2</v>
      </c>
      <c r="J15" s="1">
        <f>+AB15-SUM(G15:I15)</f>
        <v>0.44600000000000001</v>
      </c>
      <c r="K15" s="1">
        <v>0.40400000000000003</v>
      </c>
      <c r="L15" s="1">
        <v>1.0569999999999999</v>
      </c>
      <c r="M15" s="1">
        <v>0.53600000000000003</v>
      </c>
      <c r="N15" s="1">
        <f>+AC15-SUM(K15:M15)</f>
        <v>0.77899999999999991</v>
      </c>
      <c r="O15" s="1">
        <v>0.64100000000000001</v>
      </c>
      <c r="V15" s="1">
        <v>-0.753</v>
      </c>
      <c r="W15" s="1">
        <v>-1.8340000000000001</v>
      </c>
      <c r="X15" s="1">
        <v>-0.253</v>
      </c>
      <c r="Y15" s="1">
        <v>0.53500000000000003</v>
      </c>
      <c r="Z15" s="1">
        <v>0.378</v>
      </c>
      <c r="AA15" s="1">
        <v>0.33600000000000002</v>
      </c>
      <c r="AB15" s="1">
        <v>0.33800000000000002</v>
      </c>
      <c r="AC15" s="1">
        <v>2.7759999999999998</v>
      </c>
    </row>
    <row r="16" spans="2:45" x14ac:dyDescent="0.2">
      <c r="B16" s="1" t="s">
        <v>16</v>
      </c>
      <c r="G16" s="1">
        <f>+G13+SUM(G14:G15)</f>
        <v>-8.279999999999994</v>
      </c>
      <c r="H16" s="1">
        <f>+H13+SUM(H14:H15)</f>
        <v>-10.352</v>
      </c>
      <c r="I16" s="1">
        <f>+I13+SUM(I14:I15)</f>
        <v>-12.845000000000002</v>
      </c>
      <c r="J16" s="1">
        <f>+J13+SUM(J14:J15)</f>
        <v>-18.866000000000042</v>
      </c>
      <c r="K16" s="1">
        <f>+K13+SUM(K14:K15)</f>
        <v>-7.4660000000000011</v>
      </c>
      <c r="L16" s="1">
        <f>+L13+SUM(L14:L15)</f>
        <v>-10.278999999999993</v>
      </c>
      <c r="M16" s="1">
        <f>+M13+SUM(M14:M15)</f>
        <v>-11.691999999999998</v>
      </c>
      <c r="N16" s="1">
        <f>+N13+SUM(N14:N15)</f>
        <v>-12.393999999999991</v>
      </c>
      <c r="O16" s="1">
        <f>+O13+SUM(O14:O15)</f>
        <v>-13.622000000000003</v>
      </c>
      <c r="V16" s="1">
        <f>+V13+SUM(V14:V15)</f>
        <v>-12.320000000000007</v>
      </c>
      <c r="W16" s="1">
        <f>+W13+SUM(W14:W15)</f>
        <v>6.6950000000000163</v>
      </c>
      <c r="X16" s="1">
        <f>+X13+SUM(X14:X15)</f>
        <v>17.538000000000018</v>
      </c>
      <c r="Y16" s="1">
        <f>+Y13+SUM(Y14:Y15)</f>
        <v>-6.7649999999999988</v>
      </c>
      <c r="Z16" s="1">
        <f>+Z13+SUM(Z14:Z15)</f>
        <v>-20.592000000000002</v>
      </c>
      <c r="AA16" s="1">
        <f>+AA13+SUM(AA14:AA15)</f>
        <v>-30.043999999999986</v>
      </c>
      <c r="AB16" s="1">
        <f>+AB13+SUM(AB14:AB15)</f>
        <v>-50.343000000000011</v>
      </c>
      <c r="AC16" s="1">
        <f>+AC13+SUM(AC14:AC15)</f>
        <v>-41.830999999999996</v>
      </c>
    </row>
    <row r="17" spans="2:29" x14ac:dyDescent="0.2">
      <c r="B17" s="1" t="s">
        <v>17</v>
      </c>
      <c r="G17" s="1">
        <v>0.34300000000000003</v>
      </c>
      <c r="H17" s="1">
        <v>-0.01</v>
      </c>
      <c r="I17" s="1">
        <v>0.11</v>
      </c>
      <c r="J17" s="1">
        <f>+AB17-SUM(G17:I17)</f>
        <v>-9.9000000000000032E-2</v>
      </c>
      <c r="K17" s="1">
        <v>0.26400000000000001</v>
      </c>
      <c r="L17" s="1">
        <v>-1.456</v>
      </c>
      <c r="M17" s="1">
        <v>0.187</v>
      </c>
      <c r="N17" s="1">
        <f>+AC17-SUM(K17:M17)</f>
        <v>2.6999999999999913E-2</v>
      </c>
      <c r="O17" s="1">
        <v>0.14399999999999999</v>
      </c>
      <c r="V17" s="1">
        <v>1.8819999999999999</v>
      </c>
      <c r="W17" s="1">
        <v>4.8579999999999997</v>
      </c>
      <c r="X17" s="1">
        <v>3.6</v>
      </c>
      <c r="Y17" s="1">
        <v>6.1189999999999998</v>
      </c>
      <c r="Z17" s="1">
        <v>0.34</v>
      </c>
      <c r="AA17" s="1">
        <v>-0.375</v>
      </c>
      <c r="AB17" s="1">
        <v>0.34399999999999997</v>
      </c>
      <c r="AC17" s="1">
        <v>-0.97799999999999998</v>
      </c>
    </row>
    <row r="18" spans="2:29" s="2" customFormat="1" x14ac:dyDescent="0.2">
      <c r="B18" s="2" t="s">
        <v>18</v>
      </c>
      <c r="G18" s="2">
        <f>+G16-G17</f>
        <v>-8.622999999999994</v>
      </c>
      <c r="H18" s="2">
        <f>+H16-H17</f>
        <v>-10.342000000000001</v>
      </c>
      <c r="I18" s="2">
        <f>+I16-I17</f>
        <v>-12.955000000000002</v>
      </c>
      <c r="J18" s="2">
        <f>+J16-J17</f>
        <v>-18.767000000000042</v>
      </c>
      <c r="K18" s="2">
        <f>+K16-K17</f>
        <v>-7.7300000000000013</v>
      </c>
      <c r="L18" s="2">
        <f>+L16-L17</f>
        <v>-8.8229999999999933</v>
      </c>
      <c r="M18" s="2">
        <f>+M16-M17</f>
        <v>-11.878999999999998</v>
      </c>
      <c r="N18" s="2">
        <f>+N16-N17</f>
        <v>-12.42099999999999</v>
      </c>
      <c r="O18" s="2">
        <f>+O16-O17</f>
        <v>-13.766000000000004</v>
      </c>
      <c r="V18" s="2">
        <f>+V16-V17</f>
        <v>-14.202000000000007</v>
      </c>
      <c r="W18" s="2">
        <f>+W16-W17</f>
        <v>1.8370000000000166</v>
      </c>
      <c r="X18" s="2">
        <f>+X16-X17</f>
        <v>13.938000000000018</v>
      </c>
      <c r="Y18" s="2">
        <f>+Y16-Y17</f>
        <v>-12.883999999999999</v>
      </c>
      <c r="Z18" s="2">
        <f>+Z16-Z17</f>
        <v>-20.932000000000002</v>
      </c>
      <c r="AA18" s="2">
        <f>+AA16-AA17</f>
        <v>-29.668999999999986</v>
      </c>
      <c r="AB18" s="2">
        <f>+AB16-AB17</f>
        <v>-50.687000000000012</v>
      </c>
      <c r="AC18" s="2">
        <f>+AC16-AC17</f>
        <v>-40.852999999999994</v>
      </c>
    </row>
    <row r="19" spans="2:29" x14ac:dyDescent="0.2">
      <c r="B19" s="1" t="s">
        <v>19</v>
      </c>
      <c r="G19" s="7">
        <f>+G18/G20</f>
        <v>-0.19752605658000214</v>
      </c>
      <c r="H19" s="7">
        <f>+H18/H20</f>
        <v>-0.2340984200280683</v>
      </c>
      <c r="I19" s="7">
        <f>+I18/I20</f>
        <v>-0.28926450229982587</v>
      </c>
      <c r="J19" s="7">
        <f>+J18/J20</f>
        <v>-0.42453192981397936</v>
      </c>
      <c r="K19" s="7">
        <f>+K18/K20</f>
        <v>-0.16912440379818844</v>
      </c>
      <c r="L19" s="7">
        <f>+L18/L20</f>
        <v>-0.19299166611982399</v>
      </c>
      <c r="M19" s="7">
        <f>+M18/M20</f>
        <v>-0.25599637954442594</v>
      </c>
      <c r="N19" s="7">
        <f>+N18/N20</f>
        <v>-0.27036263114361564</v>
      </c>
      <c r="O19" s="7">
        <f>+O18/O20</f>
        <v>-0.29139325176749514</v>
      </c>
      <c r="V19" s="7">
        <f>+V18/V20</f>
        <v>-5.6808000000000032</v>
      </c>
      <c r="W19" s="7">
        <f>+W18/W20</f>
        <v>0.67166361974406463</v>
      </c>
      <c r="X19" s="7">
        <f>+X18/X20</f>
        <v>0.46523582229046423</v>
      </c>
      <c r="Y19" s="7">
        <f>+Y18/Y20</f>
        <v>-0.34709986799213338</v>
      </c>
      <c r="Z19" s="7">
        <f>+Z18/Z20</f>
        <v>-0.54557301847942252</v>
      </c>
      <c r="AA19" s="7">
        <f>+AA18/AA20</f>
        <v>-0.70402448863366673</v>
      </c>
      <c r="AB19" s="7">
        <f>+AB18/AB20</f>
        <v>-1.14067422810334</v>
      </c>
      <c r="AC19" s="7">
        <f>+AC18/AC20</f>
        <v>-0.88660532141151938</v>
      </c>
    </row>
    <row r="20" spans="2:29" x14ac:dyDescent="0.2">
      <c r="B20" s="1" t="s">
        <v>1</v>
      </c>
      <c r="G20" s="1">
        <v>43.655000000000001</v>
      </c>
      <c r="H20" s="1">
        <v>44.177999999999997</v>
      </c>
      <c r="I20" s="1">
        <v>44.786000000000001</v>
      </c>
      <c r="J20" s="1">
        <f>+AVERAGE(G20:I20)</f>
        <v>44.206333333333333</v>
      </c>
      <c r="K20" s="1">
        <v>45.706000000000003</v>
      </c>
      <c r="L20" s="1">
        <v>45.716999999999999</v>
      </c>
      <c r="M20" s="1">
        <v>46.402999999999999</v>
      </c>
      <c r="N20" s="1">
        <f>+AVERAGE(K20:M20)</f>
        <v>45.942</v>
      </c>
      <c r="O20" s="1">
        <v>47.241999999999997</v>
      </c>
      <c r="V20" s="1">
        <v>2.5</v>
      </c>
      <c r="W20" s="1">
        <v>2.7349999999999999</v>
      </c>
      <c r="X20" s="1">
        <v>29.959</v>
      </c>
      <c r="Y20" s="1">
        <v>37.119</v>
      </c>
      <c r="Z20" s="1">
        <v>38.366999999999997</v>
      </c>
      <c r="AA20" s="1">
        <v>42.142000000000003</v>
      </c>
      <c r="AB20" s="1">
        <v>44.436</v>
      </c>
      <c r="AC20" s="1">
        <v>46.078000000000003</v>
      </c>
    </row>
    <row r="22" spans="2:29" s="3" customFormat="1" x14ac:dyDescent="0.2">
      <c r="B22" s="3" t="s">
        <v>20</v>
      </c>
      <c r="G22" s="3">
        <f>+G9/G5</f>
        <v>0.25096573015405149</v>
      </c>
      <c r="H22" s="3">
        <f>+H9/H5</f>
        <v>0.2529304420734213</v>
      </c>
      <c r="I22" s="3">
        <f>+I9/I5</f>
        <v>0.22425240876641203</v>
      </c>
      <c r="J22" s="3">
        <f>+J9/J5</f>
        <v>0.10203073448719918</v>
      </c>
      <c r="K22" s="3">
        <f>+K9/K5</f>
        <v>0.26368527111719137</v>
      </c>
      <c r="L22" s="3">
        <f>+L9/L5</f>
        <v>0.22714993246285464</v>
      </c>
      <c r="M22" s="3">
        <f>+M9/M5</f>
        <v>0.19627128016747644</v>
      </c>
      <c r="N22" s="3">
        <f>+N9/N5</f>
        <v>0.18893085639404933</v>
      </c>
      <c r="O22" s="3">
        <f>+O9/O5</f>
        <v>0.1681676286298201</v>
      </c>
      <c r="V22" s="3">
        <f>+V9/V5</f>
        <v>0.22863064396743149</v>
      </c>
      <c r="W22" s="3">
        <f>+W9/W5</f>
        <v>0.31948333092798392</v>
      </c>
      <c r="X22" s="3">
        <f>+X9/X5</f>
        <v>0.34992344232568112</v>
      </c>
      <c r="Y22" s="3">
        <f>+Y9/Y5</f>
        <v>0.29633844603355242</v>
      </c>
      <c r="Z22" s="3">
        <f>+Z9/Z5</f>
        <v>0.26645839785626757</v>
      </c>
      <c r="AA22" s="3">
        <f>+AA9/AA5</f>
        <v>0.28616747980721541</v>
      </c>
      <c r="AB22" s="3">
        <f>+AB9/AB5</f>
        <v>0.20995381272257063</v>
      </c>
      <c r="AC22" s="3">
        <f>+AC9/AC5</f>
        <v>0.21966835142744176</v>
      </c>
    </row>
    <row r="23" spans="2:29" s="3" customFormat="1" x14ac:dyDescent="0.2">
      <c r="B23" s="3" t="s">
        <v>21</v>
      </c>
      <c r="G23" s="3">
        <f>+G13/G5</f>
        <v>-0.12890364417691857</v>
      </c>
      <c r="H23" s="3">
        <f>+H13/H5</f>
        <v>-0.16961217880217666</v>
      </c>
      <c r="I23" s="3">
        <f>+I13/I5</f>
        <v>-0.21601517647646151</v>
      </c>
      <c r="J23" s="3">
        <f>+J13/J5</f>
        <v>-0.34586001870181293</v>
      </c>
      <c r="K23" s="3">
        <f>+K13/K5</f>
        <v>-0.15172579541883124</v>
      </c>
      <c r="L23" s="3">
        <f>+L13/L5</f>
        <v>-0.219233078193006</v>
      </c>
      <c r="M23" s="3">
        <f>+M13/M5</f>
        <v>-0.24748192913852349</v>
      </c>
      <c r="N23" s="3">
        <f>+N13/N5</f>
        <v>-0.26063747783858759</v>
      </c>
      <c r="O23" s="3">
        <f>+O13/O5</f>
        <v>-0.33054102005524744</v>
      </c>
      <c r="V23" s="3">
        <f>+V13/V5</f>
        <v>-9.2158894645941361E-2</v>
      </c>
      <c r="W23" s="3">
        <f>+W13/W5</f>
        <v>7.0702843123105902E-2</v>
      </c>
      <c r="X23" s="3">
        <f>+X13/X5</f>
        <v>8.9167481017354902E-2</v>
      </c>
      <c r="Y23" s="3">
        <f>+Y13/Y5</f>
        <v>-5.6103816690163566E-2</v>
      </c>
      <c r="Z23" s="3">
        <f>+Z13/Z5</f>
        <v>-9.4475041406891724E-2</v>
      </c>
      <c r="AA23" s="3">
        <f>+AA13/AA5</f>
        <v>-0.11185433062121958</v>
      </c>
      <c r="AB23" s="3">
        <f>+AB13/AB5</f>
        <v>-0.21156086557767151</v>
      </c>
      <c r="AC23" s="3">
        <f>+AC13/AC5</f>
        <v>-0.21888710514907989</v>
      </c>
    </row>
    <row r="24" spans="2:29" s="3" customFormat="1" x14ac:dyDescent="0.2">
      <c r="B24" s="3" t="s">
        <v>22</v>
      </c>
      <c r="G24" s="3">
        <f>+G18/G5</f>
        <v>-0.13377495772506545</v>
      </c>
      <c r="H24" s="3">
        <f>+H18/H5</f>
        <v>-0.17002318049550366</v>
      </c>
      <c r="I24" s="3">
        <f>+I18/I5</f>
        <v>-0.2155825137703227</v>
      </c>
      <c r="J24" s="3">
        <f>+J18/J5</f>
        <v>-0.33111028776090001</v>
      </c>
      <c r="K24" s="3">
        <f>+K18/K5</f>
        <v>-0.14290732284483557</v>
      </c>
      <c r="L24" s="3">
        <f>+L18/L5</f>
        <v>-0.16552228725799176</v>
      </c>
      <c r="M24" s="3">
        <f>+M18/M5</f>
        <v>-0.23460520598807122</v>
      </c>
      <c r="N24" s="3">
        <f>+N18/N5</f>
        <v>-0.23936252216141193</v>
      </c>
      <c r="O24" s="3">
        <f>+O18/O5</f>
        <v>-0.30916073393671262</v>
      </c>
      <c r="V24" s="3">
        <f>+V18/V5</f>
        <v>-0.14016284233900822</v>
      </c>
      <c r="W24" s="3">
        <f>+W18/W5</f>
        <v>1.3255881079520974E-2</v>
      </c>
      <c r="X24" s="3">
        <f>+X18/X5</f>
        <v>7.283691908925119E-2</v>
      </c>
      <c r="Y24" s="3">
        <f>+Y18/Y5</f>
        <v>-7.2947984078723119E-2</v>
      </c>
      <c r="Z24" s="3">
        <f>+Z18/Z5</f>
        <v>-9.3954369380894034E-2</v>
      </c>
      <c r="AA24" s="3">
        <f>+AA18/AA5</f>
        <v>-0.10982579790187523</v>
      </c>
      <c r="AB24" s="3">
        <f>+AB18/AB5</f>
        <v>-0.2094002263920218</v>
      </c>
      <c r="AC24" s="3">
        <f>+AC18/AC5</f>
        <v>-0.19461130615803085</v>
      </c>
    </row>
    <row r="25" spans="2:29" s="3" customFormat="1" x14ac:dyDescent="0.2">
      <c r="B25" s="3" t="s">
        <v>23</v>
      </c>
      <c r="G25" s="3">
        <f>+G17/G16</f>
        <v>-4.142512077294689E-2</v>
      </c>
      <c r="H25" s="3">
        <f>+H17/H16</f>
        <v>9.6599690880989182E-4</v>
      </c>
      <c r="I25" s="3">
        <f>+I17/I16</f>
        <v>-8.5636434410276355E-3</v>
      </c>
      <c r="J25" s="3">
        <f>+J17/J16</f>
        <v>5.2475352485953468E-3</v>
      </c>
      <c r="K25" s="3">
        <f>+K17/K16</f>
        <v>-3.5360300026788104E-2</v>
      </c>
      <c r="L25" s="3">
        <f>+L17/L16</f>
        <v>0.14164802023543155</v>
      </c>
      <c r="M25" s="3">
        <f>+M17/M16</f>
        <v>-1.5993841943209033E-2</v>
      </c>
      <c r="N25" s="3">
        <f>+N17/N16</f>
        <v>-2.1784734548975257E-3</v>
      </c>
      <c r="O25" s="3">
        <f>+O17/O16</f>
        <v>-1.0571134928791658E-2</v>
      </c>
      <c r="V25" s="3">
        <f>+V17/V16</f>
        <v>-0.15275974025974015</v>
      </c>
      <c r="W25" s="3">
        <f>+W17/W16</f>
        <v>0.72561613144137238</v>
      </c>
      <c r="X25" s="3">
        <f>+X17/X16</f>
        <v>0.20526855969893923</v>
      </c>
      <c r="Y25" s="3">
        <f>+Y17/Y16</f>
        <v>-0.90450849963045099</v>
      </c>
      <c r="Z25" s="3">
        <f>+Z17/Z16</f>
        <v>-1.6511266511266512E-2</v>
      </c>
      <c r="AA25" s="3">
        <f>+AA17/AA16</f>
        <v>1.2481693516176281E-2</v>
      </c>
      <c r="AB25" s="3">
        <f>+AB17/AB16</f>
        <v>-6.8331247641181475E-3</v>
      </c>
      <c r="AC25" s="3">
        <f>+AC17/AC16</f>
        <v>2.3379790107814779E-2</v>
      </c>
    </row>
    <row r="26" spans="2:29" s="3" customFormat="1" x14ac:dyDescent="0.2"/>
    <row r="27" spans="2:29" s="8" customFormat="1" x14ac:dyDescent="0.2">
      <c r="B27" s="8" t="s">
        <v>24</v>
      </c>
      <c r="G27" s="8" t="e">
        <f>+G5/C5-1</f>
        <v>#DIV/0!</v>
      </c>
      <c r="H27" s="8" t="e">
        <f>+H5/D5-1</f>
        <v>#DIV/0!</v>
      </c>
      <c r="I27" s="8" t="e">
        <f>+I5/E5-1</f>
        <v>#DIV/0!</v>
      </c>
      <c r="J27" s="8" t="e">
        <f>+J5/F5-1</f>
        <v>#DIV/0!</v>
      </c>
      <c r="K27" s="8">
        <f>+K5/G5-1</f>
        <v>-0.16084642951333405</v>
      </c>
      <c r="L27" s="8">
        <f>+L5/H5-1</f>
        <v>-0.12367862955595366</v>
      </c>
      <c r="M27" s="8">
        <f>+M5/I5-1</f>
        <v>-0.15740602066796472</v>
      </c>
      <c r="N27" s="8">
        <f>+N5/J5-1</f>
        <v>-8.4458088533671316E-2</v>
      </c>
      <c r="O27" s="8">
        <f>+O5/K5-1</f>
        <v>-0.17681314821319627</v>
      </c>
      <c r="P27" s="8">
        <f>+P5/L5-1</f>
        <v>-8.0744409425183905E-2</v>
      </c>
      <c r="W27" s="8">
        <f>+W5/V5-1</f>
        <v>0.36767826301505058</v>
      </c>
      <c r="X27" s="8">
        <f>+X5/W5-1</f>
        <v>0.38085582335113277</v>
      </c>
      <c r="Y27" s="8">
        <f>+Y5/X5-1</f>
        <v>-7.7027994502479658E-2</v>
      </c>
      <c r="Z27" s="8">
        <f>+Z5/Y5-1</f>
        <v>0.26141015406043522</v>
      </c>
      <c r="AA27" s="8">
        <f>+AA5/Z5-1</f>
        <v>0.21256435461355805</v>
      </c>
      <c r="AB27" s="8">
        <f>+AB5/AA5-1</f>
        <v>-0.10397340697252599</v>
      </c>
      <c r="AC27" s="8">
        <f>+AC5/AB5-1</f>
        <v>-0.13276570078245709</v>
      </c>
    </row>
    <row r="29" spans="2:29" x14ac:dyDescent="0.2">
      <c r="B29" s="1" t="s">
        <v>42</v>
      </c>
      <c r="K29" s="1">
        <f>+K30</f>
        <v>108.621</v>
      </c>
      <c r="L29" s="1">
        <f>+L30</f>
        <v>101.965</v>
      </c>
      <c r="M29" s="1">
        <f>+M30</f>
        <v>111.848</v>
      </c>
      <c r="N29" s="1">
        <f>+N30</f>
        <v>113.13800000000001</v>
      </c>
      <c r="O29" s="1">
        <f>+O30</f>
        <v>121.33799999999999</v>
      </c>
    </row>
    <row r="30" spans="2:29" x14ac:dyDescent="0.2">
      <c r="B30" s="1" t="s">
        <v>3</v>
      </c>
      <c r="K30" s="1">
        <f>48.402+59.966+0.253</f>
        <v>108.621</v>
      </c>
      <c r="L30" s="1">
        <f>41.818+59.893+0.254</f>
        <v>101.965</v>
      </c>
      <c r="M30" s="1">
        <f>52.087+59.506+0.255</f>
        <v>111.848</v>
      </c>
      <c r="N30" s="1">
        <f>53.21+59.672+0.256</f>
        <v>113.13800000000001</v>
      </c>
      <c r="O30" s="1">
        <f>61.306+59.775+0.257</f>
        <v>121.33799999999999</v>
      </c>
    </row>
    <row r="31" spans="2:29" x14ac:dyDescent="0.2">
      <c r="B31" s="1" t="s">
        <v>43</v>
      </c>
      <c r="K31" s="1">
        <v>36.14</v>
      </c>
      <c r="L31" s="1">
        <v>46.252000000000002</v>
      </c>
      <c r="M31" s="1">
        <v>35.515999999999998</v>
      </c>
      <c r="N31" s="1">
        <v>39.585000000000001</v>
      </c>
      <c r="O31" s="1">
        <v>27.545000000000002</v>
      </c>
    </row>
    <row r="32" spans="2:29" x14ac:dyDescent="0.2">
      <c r="B32" s="1" t="s">
        <v>44</v>
      </c>
      <c r="K32" s="1">
        <v>67.156999999999996</v>
      </c>
      <c r="L32" s="1">
        <v>64.936999999999998</v>
      </c>
      <c r="M32" s="1">
        <v>61.59</v>
      </c>
      <c r="N32" s="1">
        <v>52.16</v>
      </c>
      <c r="O32" s="1">
        <v>53.012999999999998</v>
      </c>
    </row>
    <row r="33" spans="2:15" x14ac:dyDescent="0.2">
      <c r="B33" s="1" t="s">
        <v>45</v>
      </c>
      <c r="K33" s="1">
        <v>21.585999999999999</v>
      </c>
      <c r="L33" s="1">
        <v>16.076000000000001</v>
      </c>
      <c r="M33" s="1">
        <v>15.656000000000001</v>
      </c>
      <c r="N33" s="1">
        <v>15.927</v>
      </c>
      <c r="O33" s="1">
        <v>17.564</v>
      </c>
    </row>
    <row r="34" spans="2:15" x14ac:dyDescent="0.2">
      <c r="B34" s="1" t="s">
        <v>46</v>
      </c>
      <c r="K34" s="1">
        <v>13.9</v>
      </c>
      <c r="L34" s="1">
        <v>13.561</v>
      </c>
      <c r="M34" s="1">
        <v>12.904</v>
      </c>
      <c r="N34" s="1">
        <v>12.616</v>
      </c>
      <c r="O34" s="1">
        <v>12.675000000000001</v>
      </c>
    </row>
    <row r="35" spans="2:15" x14ac:dyDescent="0.2">
      <c r="B35" s="1" t="s">
        <v>47</v>
      </c>
      <c r="K35" s="1">
        <v>58.978000000000002</v>
      </c>
      <c r="L35" s="1">
        <v>57.124000000000002</v>
      </c>
      <c r="M35" s="1">
        <v>54.13</v>
      </c>
      <c r="N35" s="1">
        <v>52.3</v>
      </c>
      <c r="O35" s="1">
        <v>50.29</v>
      </c>
    </row>
    <row r="36" spans="2:15" x14ac:dyDescent="0.2">
      <c r="B36" s="1" t="s">
        <v>48</v>
      </c>
      <c r="K36" s="1">
        <f>3.408+12.388</f>
        <v>15.795999999999999</v>
      </c>
      <c r="L36" s="1">
        <f>2.799+12.389</f>
        <v>15.187999999999999</v>
      </c>
      <c r="M36" s="1">
        <f>2.166+12.367</f>
        <v>14.533000000000001</v>
      </c>
      <c r="N36" s="1">
        <f>1.652+12.399</f>
        <v>14.050999999999998</v>
      </c>
      <c r="O36" s="1">
        <f>1.278+12.382</f>
        <v>13.66</v>
      </c>
    </row>
    <row r="37" spans="2:15" x14ac:dyDescent="0.2">
      <c r="B37" s="1" t="s">
        <v>49</v>
      </c>
      <c r="K37" s="1">
        <v>7.5860000000000003</v>
      </c>
      <c r="L37" s="1">
        <v>6.7969999999999997</v>
      </c>
      <c r="M37" s="1">
        <v>6.6509999999999998</v>
      </c>
      <c r="N37" s="1">
        <v>7.0259999999999998</v>
      </c>
      <c r="O37" s="1">
        <v>6.7460000000000004</v>
      </c>
    </row>
    <row r="38" spans="2:15" s="2" customFormat="1" x14ac:dyDescent="0.2">
      <c r="B38" s="2" t="s">
        <v>50</v>
      </c>
      <c r="K38" s="2">
        <f>+SUM(K30:K37)</f>
        <v>329.76400000000001</v>
      </c>
      <c r="L38" s="2">
        <f>+SUM(L30:L37)</f>
        <v>321.90000000000003</v>
      </c>
      <c r="M38" s="2">
        <f>+SUM(M30:M37)</f>
        <v>312.82800000000003</v>
      </c>
      <c r="N38" s="2">
        <f>+SUM(N30:N37)</f>
        <v>306.803</v>
      </c>
      <c r="O38" s="2">
        <f>+SUM(O30:O37)</f>
        <v>302.83100000000002</v>
      </c>
    </row>
    <row r="39" spans="2:15" x14ac:dyDescent="0.2">
      <c r="B39" s="1" t="s">
        <v>51</v>
      </c>
      <c r="K39" s="1">
        <v>17.759</v>
      </c>
      <c r="L39" s="1">
        <v>17.574000000000002</v>
      </c>
      <c r="M39" s="1">
        <v>14.327999999999999</v>
      </c>
      <c r="N39" s="1">
        <v>12.166</v>
      </c>
      <c r="O39" s="1">
        <v>13.911</v>
      </c>
    </row>
    <row r="40" spans="2:15" x14ac:dyDescent="0.2">
      <c r="B40" s="1" t="s">
        <v>52</v>
      </c>
      <c r="K40" s="1">
        <v>14.708</v>
      </c>
      <c r="L40" s="1">
        <v>14.083</v>
      </c>
      <c r="M40" s="1">
        <v>14.179</v>
      </c>
      <c r="N40" s="1">
        <v>12.555999999999999</v>
      </c>
      <c r="O40" s="1">
        <v>13.599</v>
      </c>
    </row>
    <row r="41" spans="2:15" x14ac:dyDescent="0.2">
      <c r="B41" s="1" t="s">
        <v>53</v>
      </c>
      <c r="K41" s="1">
        <v>1.2709999999999999</v>
      </c>
      <c r="L41" s="1">
        <v>1.365</v>
      </c>
      <c r="M41" s="1">
        <v>2.0169999999999999</v>
      </c>
      <c r="N41" s="1">
        <v>4.8490000000000002</v>
      </c>
      <c r="O41" s="1">
        <v>7.5830000000000002</v>
      </c>
    </row>
    <row r="42" spans="2:15" x14ac:dyDescent="0.2">
      <c r="B42" s="1" t="s">
        <v>46</v>
      </c>
      <c r="K42" s="1">
        <f>3.001+12.576</f>
        <v>15.577</v>
      </c>
      <c r="L42" s="1">
        <f>3.089+12.113</f>
        <v>15.202</v>
      </c>
      <c r="M42" s="1">
        <f>3.049+11.451</f>
        <v>14.5</v>
      </c>
      <c r="N42" s="1">
        <f>3.181+10.978</f>
        <v>14.158999999999999</v>
      </c>
      <c r="O42" s="1">
        <f>3.171+10.993</f>
        <v>14.164</v>
      </c>
    </row>
    <row r="43" spans="2:15" x14ac:dyDescent="0.2">
      <c r="B43" s="1" t="s">
        <v>54</v>
      </c>
      <c r="K43" s="1">
        <v>6.92</v>
      </c>
      <c r="L43" s="1">
        <v>5.1909999999999998</v>
      </c>
      <c r="M43" s="1">
        <v>5.2729999999999997</v>
      </c>
      <c r="N43" s="1">
        <v>5.391</v>
      </c>
      <c r="O43" s="1">
        <v>5.4850000000000003</v>
      </c>
    </row>
    <row r="44" spans="2:15" x14ac:dyDescent="0.2">
      <c r="B44" s="1" t="s">
        <v>49</v>
      </c>
      <c r="K44" s="1">
        <v>4.367</v>
      </c>
      <c r="L44" s="1">
        <v>3.1219999999999999</v>
      </c>
      <c r="M44" s="1">
        <v>3.012</v>
      </c>
      <c r="N44" s="1">
        <v>3.2629999999999999</v>
      </c>
      <c r="O44" s="1">
        <v>3.7320000000000002</v>
      </c>
    </row>
    <row r="45" spans="2:15" s="2" customFormat="1" x14ac:dyDescent="0.2">
      <c r="B45" s="2" t="s">
        <v>55</v>
      </c>
      <c r="K45" s="2">
        <f>+SUM(K39:K44)</f>
        <v>60.601999999999997</v>
      </c>
      <c r="L45" s="2">
        <f>+SUM(L39:L44)</f>
        <v>56.537000000000006</v>
      </c>
      <c r="M45" s="2">
        <f>+SUM(M39:M44)</f>
        <v>53.308999999999997</v>
      </c>
      <c r="N45" s="2">
        <f>+SUM(N39:N44)</f>
        <v>52.384</v>
      </c>
      <c r="O45" s="2">
        <f>+SUM(O39:O44)</f>
        <v>58.473999999999997</v>
      </c>
    </row>
    <row r="46" spans="2:15" x14ac:dyDescent="0.2">
      <c r="B46" s="1" t="s">
        <v>56</v>
      </c>
      <c r="K46" s="1">
        <v>269.16199999999998</v>
      </c>
      <c r="L46" s="1">
        <v>269.16199999999998</v>
      </c>
      <c r="M46" s="1">
        <v>259.51900000000001</v>
      </c>
      <c r="N46" s="1">
        <v>254.41900000000001</v>
      </c>
      <c r="O46" s="1">
        <v>244.357</v>
      </c>
    </row>
    <row r="47" spans="2:15" x14ac:dyDescent="0.2">
      <c r="B47" s="1" t="s">
        <v>57</v>
      </c>
      <c r="K47" s="1">
        <f>+K46+K45</f>
        <v>329.76399999999995</v>
      </c>
      <c r="L47" s="1">
        <f>+L46+L45</f>
        <v>325.69899999999996</v>
      </c>
      <c r="M47" s="1">
        <f>+M46+M45</f>
        <v>312.82799999999997</v>
      </c>
      <c r="N47" s="1">
        <f>+N46+N45</f>
        <v>306.803</v>
      </c>
      <c r="O47" s="1">
        <f>+O46+O45</f>
        <v>302.83100000000002</v>
      </c>
    </row>
    <row r="49" spans="2:15" x14ac:dyDescent="0.2">
      <c r="B49" s="1" t="s">
        <v>58</v>
      </c>
      <c r="K49" s="1">
        <f>+K18</f>
        <v>-7.7300000000000013</v>
      </c>
      <c r="L49" s="1">
        <f>+L18</f>
        <v>-8.8229999999999933</v>
      </c>
      <c r="M49" s="1">
        <f>+M18</f>
        <v>-11.878999999999998</v>
      </c>
      <c r="N49" s="1">
        <f>+N18</f>
        <v>-12.42099999999999</v>
      </c>
      <c r="O49" s="1">
        <f>+O18</f>
        <v>-13.766000000000004</v>
      </c>
    </row>
    <row r="50" spans="2:15" x14ac:dyDescent="0.2">
      <c r="B50" s="1" t="s">
        <v>59</v>
      </c>
      <c r="K50" s="1">
        <v>-7.73</v>
      </c>
      <c r="L50" s="1">
        <f>-16.553-K50</f>
        <v>-8.8230000000000004</v>
      </c>
      <c r="M50" s="1">
        <f>-28.432-SUM(K50:L50)</f>
        <v>-11.878999999999998</v>
      </c>
      <c r="N50" s="1">
        <f>-41.67-SUM(K50:M50)</f>
        <v>-13.238000000000003</v>
      </c>
      <c r="O50" s="1">
        <v>-13.766</v>
      </c>
    </row>
    <row r="51" spans="2:15" x14ac:dyDescent="0.2">
      <c r="B51" s="1" t="s">
        <v>60</v>
      </c>
      <c r="K51" s="1">
        <f>3.105+0.872</f>
        <v>3.9769999999999999</v>
      </c>
      <c r="L51" s="1">
        <f>6.23+1.768-K51</f>
        <v>4.0210000000000008</v>
      </c>
      <c r="M51" s="1">
        <f>9.292+2.697-SUM(K51:L51)</f>
        <v>3.9909999999999997</v>
      </c>
      <c r="N51" s="1">
        <f>12.401+3.629-SUM(K51:M51)</f>
        <v>4.0410000000000004</v>
      </c>
      <c r="O51" s="1">
        <f>3.135+1.258</f>
        <v>4.3929999999999998</v>
      </c>
    </row>
    <row r="52" spans="2:15" x14ac:dyDescent="0.2">
      <c r="B52" s="1" t="s">
        <v>61</v>
      </c>
      <c r="K52" s="1">
        <v>6.0000000000000001E-3</v>
      </c>
      <c r="L52" s="1">
        <f>0.292-K52</f>
        <v>0.28599999999999998</v>
      </c>
      <c r="M52" s="1">
        <f>0.947-SUM(K52:L52)</f>
        <v>0.65500000000000003</v>
      </c>
      <c r="N52" s="1">
        <f>1.269-SUM(K52:M52)</f>
        <v>0.32199999999999984</v>
      </c>
      <c r="O52" s="1">
        <v>-7.0000000000000007E-2</v>
      </c>
    </row>
    <row r="53" spans="2:15" x14ac:dyDescent="0.2">
      <c r="B53" s="1" t="s">
        <v>43</v>
      </c>
      <c r="K53" s="1">
        <v>-2E-3</v>
      </c>
      <c r="L53" s="1">
        <f>-0.002-K53</f>
        <v>0</v>
      </c>
      <c r="M53" s="1">
        <f>-0.002-SUM(K53:L53)</f>
        <v>0</v>
      </c>
      <c r="N53" s="1">
        <f>0.027-SUM(K53:M53)</f>
        <v>2.8999999999999998E-2</v>
      </c>
      <c r="O53" s="1">
        <v>9.5000000000000001E-2</v>
      </c>
    </row>
    <row r="54" spans="2:15" x14ac:dyDescent="0.2">
      <c r="B54" s="1" t="s">
        <v>62</v>
      </c>
      <c r="K54" s="1">
        <v>5.5030000000000001</v>
      </c>
      <c r="L54" s="1">
        <f>13.018-K54</f>
        <v>7.5150000000000006</v>
      </c>
      <c r="M54" s="1">
        <f>19.645-SUM(K54:L54)</f>
        <v>6.6269999999999989</v>
      </c>
      <c r="N54" s="1">
        <f>25.832-SUM(K54:M54)</f>
        <v>6.1870000000000012</v>
      </c>
      <c r="O54" s="1">
        <v>5.431</v>
      </c>
    </row>
    <row r="55" spans="2:15" x14ac:dyDescent="0.2">
      <c r="B55" s="1" t="s">
        <v>63</v>
      </c>
      <c r="K55" s="1">
        <v>0</v>
      </c>
      <c r="L55" s="1">
        <v>0</v>
      </c>
      <c r="M55" s="1">
        <f>0.007-SUM(K55:L55)</f>
        <v>7.0000000000000001E-3</v>
      </c>
      <c r="N55" s="1">
        <f>0.007-SUM(K55:M55)</f>
        <v>0</v>
      </c>
      <c r="O55" s="1">
        <v>0</v>
      </c>
    </row>
    <row r="56" spans="2:15" x14ac:dyDescent="0.2">
      <c r="B56" s="1" t="s">
        <v>78</v>
      </c>
      <c r="K56" s="1">
        <v>0</v>
      </c>
      <c r="L56" s="1">
        <v>0</v>
      </c>
      <c r="M56" s="1">
        <v>0</v>
      </c>
      <c r="N56" s="1">
        <f>0.542-SUM(K56:M56)</f>
        <v>0.54200000000000004</v>
      </c>
      <c r="O56" s="1">
        <v>3.5000000000000003E-2</v>
      </c>
    </row>
    <row r="57" spans="2:15" x14ac:dyDescent="0.2">
      <c r="B57" s="1" t="s">
        <v>64</v>
      </c>
      <c r="K57" s="1">
        <f>1.905+0.662-4.549-0.54-0.411+1.855-0.142-0.045+0.155</f>
        <v>-1.1100000000000001</v>
      </c>
      <c r="L57" s="1">
        <f>-8.449+2.197+0.951-0.319-0.941+0.158-0.046-0.374-1.393-K57</f>
        <v>-7.105999999999999</v>
      </c>
      <c r="M57" s="1">
        <f>2.308+5.491+1.358-0.442-2.079+0.161+0.617-1.076-1.33-SUM(K57:L57)</f>
        <v>13.223999999999998</v>
      </c>
      <c r="N57" s="1">
        <f>-1.677+14.89+1.109-1.156-4.503-1.336+3.432-1.449-1.256-SUM(K57:M57)</f>
        <v>3.0460000000000012</v>
      </c>
      <c r="O57" s="1">
        <f>11.892-0.88-1.646-0.616+2.099+1.555+2.745+0.015+0.101</f>
        <v>15.265000000000002</v>
      </c>
    </row>
    <row r="58" spans="2:15" s="2" customFormat="1" x14ac:dyDescent="0.2">
      <c r="B58" s="2" t="s">
        <v>65</v>
      </c>
      <c r="K58" s="2">
        <f>+SUM(K50:K57)</f>
        <v>0.64399999999999946</v>
      </c>
      <c r="L58" s="2">
        <f>+SUM(L50:L57)</f>
        <v>-4.1069999999999984</v>
      </c>
      <c r="M58" s="2">
        <f>+SUM(M50:M57)</f>
        <v>12.625</v>
      </c>
      <c r="N58" s="2">
        <f>+SUM(N50:N57)</f>
        <v>0.92899999999999849</v>
      </c>
      <c r="O58" s="2">
        <f>+SUM(O50:O57)</f>
        <v>11.383000000000003</v>
      </c>
    </row>
    <row r="59" spans="2:15" x14ac:dyDescent="0.2">
      <c r="L59" s="7"/>
    </row>
    <row r="60" spans="2:15" x14ac:dyDescent="0.2">
      <c r="B60" s="1" t="s">
        <v>66</v>
      </c>
      <c r="K60" s="1">
        <v>-0.68400000000000005</v>
      </c>
      <c r="L60" s="1">
        <f>-1.64-K60</f>
        <v>-0.95599999999999985</v>
      </c>
      <c r="M60" s="1">
        <f>-4.386-SUM(K60:L60)</f>
        <v>-2.7460000000000004</v>
      </c>
      <c r="N60" s="1">
        <f>+-5.339-SUM(K60:M60)</f>
        <v>-0.95300000000000029</v>
      </c>
      <c r="O60" s="1">
        <v>-1.556</v>
      </c>
    </row>
    <row r="61" spans="2:15" x14ac:dyDescent="0.2">
      <c r="B61" s="1" t="s">
        <v>67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</row>
    <row r="62" spans="2:15" x14ac:dyDescent="0.2">
      <c r="B62" s="1" t="s">
        <v>68</v>
      </c>
      <c r="K62" s="1">
        <f>-34.359+24.998</f>
        <v>-9.3610000000000007</v>
      </c>
      <c r="L62" s="1">
        <f>-59.273+50.089-K62</f>
        <v>0.17699999999999605</v>
      </c>
      <c r="M62" s="1">
        <f>-103.008+94.231-SUM(K62:L62)</f>
        <v>0.40700000000000358</v>
      </c>
      <c r="N62" s="1">
        <f>+-127.907+119.146-SUM(K62:M62)</f>
        <v>1.6000000000005343E-2</v>
      </c>
      <c r="O62" s="1">
        <f>-24.357+24.365</f>
        <v>7.9999999999991189E-3</v>
      </c>
    </row>
    <row r="63" spans="2:15" x14ac:dyDescent="0.2">
      <c r="B63" s="1" t="s">
        <v>69</v>
      </c>
      <c r="K63" s="1">
        <f>+SUM(K60:K62)</f>
        <v>-10.045</v>
      </c>
      <c r="L63" s="1">
        <f>+SUM(L60:L62)</f>
        <v>-0.7790000000000038</v>
      </c>
      <c r="M63" s="1">
        <f>+SUM(M60:M62)</f>
        <v>-2.3389999999999969</v>
      </c>
      <c r="N63" s="1">
        <f>+SUM(N60:N62)</f>
        <v>-0.93699999999999495</v>
      </c>
      <c r="O63" s="1">
        <f>+SUM(O60:O62)</f>
        <v>-1.5480000000000009</v>
      </c>
    </row>
    <row r="65" spans="2:15" x14ac:dyDescent="0.2">
      <c r="B65" s="1" t="s">
        <v>77</v>
      </c>
      <c r="K65" s="1">
        <v>0</v>
      </c>
      <c r="L65" s="1">
        <v>1.22</v>
      </c>
      <c r="M65" s="1">
        <f>1.22-SUM(K65:L65)</f>
        <v>0</v>
      </c>
      <c r="N65" s="1">
        <f>2.469-SUM(K65:M65)</f>
        <v>1.2489999999999999</v>
      </c>
      <c r="O65" s="1">
        <v>0</v>
      </c>
    </row>
    <row r="66" spans="2:15" x14ac:dyDescent="0.2">
      <c r="B66" s="1" t="s">
        <v>70</v>
      </c>
      <c r="K66" s="1">
        <v>0.14299999999999999</v>
      </c>
      <c r="L66" s="1">
        <f>0.332-K66</f>
        <v>0.18900000000000003</v>
      </c>
      <c r="M66" s="1">
        <f>0.385-SUM(K66:L66)</f>
        <v>5.2999999999999992E-2</v>
      </c>
      <c r="N66" s="1">
        <f>0.64-SUM(K66:M66)</f>
        <v>0.255</v>
      </c>
      <c r="O66" s="1">
        <v>0.01</v>
      </c>
    </row>
    <row r="67" spans="2:15" x14ac:dyDescent="0.2">
      <c r="B67" s="1" t="s">
        <v>71</v>
      </c>
      <c r="K67" s="1">
        <v>-0.182</v>
      </c>
      <c r="L67" s="1">
        <f>-3.132-K67</f>
        <v>-2.95</v>
      </c>
      <c r="M67" s="1">
        <f>-3.667-SUM(K67:L67)</f>
        <v>-0.5349999999999997</v>
      </c>
      <c r="N67" s="1">
        <f>-3.968-SUM(K67:M67)</f>
        <v>-0.30100000000000016</v>
      </c>
      <c r="O67" s="1">
        <v>-1.625</v>
      </c>
    </row>
    <row r="68" spans="2:15" x14ac:dyDescent="0.2">
      <c r="B68" s="1" t="s">
        <v>72</v>
      </c>
      <c r="K68" s="1">
        <f>+SUM(K65:K67)</f>
        <v>-3.9000000000000007E-2</v>
      </c>
      <c r="L68" s="1">
        <f>+SUM(L65:L67)</f>
        <v>-1.5410000000000001</v>
      </c>
      <c r="M68" s="1">
        <f>+SUM(M65:M67)</f>
        <v>-0.48199999999999971</v>
      </c>
      <c r="N68" s="1">
        <f>+SUM(N65:N67)</f>
        <v>1.2029999999999998</v>
      </c>
      <c r="O68" s="1">
        <f>+SUM(O65:O67)</f>
        <v>-1.615</v>
      </c>
    </row>
    <row r="69" spans="2:15" x14ac:dyDescent="0.2">
      <c r="B69" s="1" t="s">
        <v>73</v>
      </c>
      <c r="K69" s="1">
        <v>1.7000000000000001E-2</v>
      </c>
      <c r="L69" s="1">
        <f>-0.139-K69</f>
        <v>-0.15600000000000003</v>
      </c>
      <c r="M69" s="1">
        <v>-0.19800000000000001</v>
      </c>
      <c r="N69" s="1">
        <f>0.256-SUM(K69:M69)</f>
        <v>0.59299999999999997</v>
      </c>
      <c r="O69" s="1">
        <v>-0.115</v>
      </c>
    </row>
    <row r="70" spans="2:15" x14ac:dyDescent="0.2">
      <c r="B70" s="1" t="s">
        <v>74</v>
      </c>
      <c r="K70" s="1">
        <f>+K58+K63+K68+K69</f>
        <v>-9.423</v>
      </c>
      <c r="L70" s="1">
        <f>+L58+L63+L68+L69</f>
        <v>-6.583000000000002</v>
      </c>
      <c r="M70" s="1">
        <f>+M58+M63+M68+M69</f>
        <v>9.6060000000000034</v>
      </c>
      <c r="N70" s="1">
        <f>+N58+N63+N68+N69</f>
        <v>1.7880000000000034</v>
      </c>
      <c r="O70" s="1">
        <f>+O58+O63+O68+O69</f>
        <v>8.1050000000000004</v>
      </c>
    </row>
    <row r="71" spans="2:15" x14ac:dyDescent="0.2">
      <c r="L71" s="10"/>
      <c r="N71" s="10"/>
      <c r="O71" s="10"/>
    </row>
    <row r="72" spans="2:15" x14ac:dyDescent="0.2">
      <c r="B72" s="1" t="s">
        <v>75</v>
      </c>
      <c r="K72" s="1">
        <f>+K58+K60</f>
        <v>-4.0000000000000591E-2</v>
      </c>
      <c r="L72" s="1">
        <f>+L58+L60</f>
        <v>-5.0629999999999979</v>
      </c>
      <c r="M72" s="1">
        <f>+M58+M60</f>
        <v>9.8789999999999996</v>
      </c>
      <c r="N72" s="1">
        <f>+N58+N60</f>
        <v>-2.4000000000001798E-2</v>
      </c>
      <c r="O72" s="1">
        <f>+O58+O60</f>
        <v>9.8270000000000017</v>
      </c>
    </row>
    <row r="73" spans="2:15" x14ac:dyDescent="0.2">
      <c r="B73" s="1" t="s">
        <v>76</v>
      </c>
      <c r="N73" s="1">
        <f>+SUM(K72:N72)</f>
        <v>4.7519999999999989</v>
      </c>
      <c r="O73" s="1">
        <f>+SUM(L72:O72)</f>
        <v>14.619000000000002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2024-07-18T09:52:14Z</dcterms:created>
  <dcterms:modified xsi:type="dcterms:W3CDTF">2024-07-18T15:12:39Z</dcterms:modified>
</cp:coreProperties>
</file>