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DC59D1EF-3564-4A01-8167-F1071CB217E6}" xr6:coauthVersionLast="47" xr6:coauthVersionMax="47" xr10:uidLastSave="{00000000-0000-0000-0000-000000000000}"/>
  <bookViews>
    <workbookView xWindow="32580" yWindow="255" windowWidth="14070" windowHeight="15300" activeTab="1" xr2:uid="{4138A04B-C678-4B25-96D3-5C4991C485EA}"/>
  </bookViews>
  <sheets>
    <sheet name="Main(LUV)" sheetId="1" r:id="rId1"/>
    <sheet name="Model(LU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6" i="2" l="1"/>
  <c r="AE55" i="2"/>
  <c r="AR49" i="2" l="1"/>
  <c r="S27" i="2"/>
  <c r="AR50" i="2"/>
  <c r="AR47" i="2"/>
  <c r="AF55" i="2"/>
  <c r="AF36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Q6" i="2"/>
  <c r="I13" i="2"/>
  <c r="J13" i="2"/>
  <c r="K13" i="2"/>
  <c r="L13" i="2"/>
  <c r="M13" i="2"/>
  <c r="O13" i="2"/>
  <c r="P13" i="2"/>
  <c r="I14" i="2"/>
  <c r="K14" i="2"/>
  <c r="L14" i="2"/>
  <c r="M14" i="2"/>
  <c r="N14" i="2"/>
  <c r="O14" i="2"/>
  <c r="P14" i="2"/>
  <c r="K15" i="2"/>
  <c r="O15" i="2"/>
  <c r="I16" i="2"/>
  <c r="K16" i="2"/>
  <c r="L16" i="2"/>
  <c r="M16" i="2"/>
  <c r="O16" i="2"/>
  <c r="P16" i="2"/>
  <c r="J17" i="2"/>
  <c r="L17" i="2"/>
  <c r="M17" i="2"/>
  <c r="P18" i="2"/>
  <c r="I19" i="2"/>
  <c r="J19" i="2"/>
  <c r="K19" i="2"/>
  <c r="L19" i="2"/>
  <c r="M19" i="2"/>
  <c r="N19" i="2"/>
  <c r="O19" i="2"/>
  <c r="P19" i="2"/>
  <c r="Q21" i="2"/>
  <c r="F24" i="2"/>
  <c r="F27" i="2" s="1"/>
  <c r="J24" i="2"/>
  <c r="J14" i="2" s="1"/>
  <c r="N24" i="2"/>
  <c r="N13" i="2" s="1"/>
  <c r="F25" i="2"/>
  <c r="J25" i="2"/>
  <c r="N25" i="2"/>
  <c r="F26" i="2"/>
  <c r="J26" i="2"/>
  <c r="N26" i="2"/>
  <c r="V26" i="2"/>
  <c r="C27" i="2"/>
  <c r="D27" i="2"/>
  <c r="E27" i="2"/>
  <c r="I49" i="2" s="1"/>
  <c r="G27" i="2"/>
  <c r="G43" i="2" s="1"/>
  <c r="H27" i="2"/>
  <c r="H44" i="2" s="1"/>
  <c r="I27" i="2"/>
  <c r="I15" i="2" s="1"/>
  <c r="J27" i="2"/>
  <c r="J15" i="2" s="1"/>
  <c r="K27" i="2"/>
  <c r="L27" i="2"/>
  <c r="L15" i="2" s="1"/>
  <c r="M27" i="2"/>
  <c r="M15" i="2" s="1"/>
  <c r="Q15" i="2" s="1"/>
  <c r="O27" i="2"/>
  <c r="P27" i="2"/>
  <c r="P15" i="2" s="1"/>
  <c r="Q27" i="2"/>
  <c r="Q29" i="2" s="1"/>
  <c r="U27" i="2"/>
  <c r="V49" i="2" s="1"/>
  <c r="V27" i="2"/>
  <c r="W27" i="2"/>
  <c r="X27" i="2"/>
  <c r="Y27" i="2"/>
  <c r="Z27" i="2"/>
  <c r="AA27" i="2"/>
  <c r="AB27" i="2"/>
  <c r="AC27" i="2"/>
  <c r="AD27" i="2"/>
  <c r="AD35" i="2" s="1"/>
  <c r="F28" i="2"/>
  <c r="F34" i="2" s="1"/>
  <c r="J28" i="2"/>
  <c r="N28" i="2"/>
  <c r="N34" i="2" s="1"/>
  <c r="Q28" i="2"/>
  <c r="S28" i="2"/>
  <c r="T28" i="2"/>
  <c r="AE28" i="2"/>
  <c r="AF28" i="2"/>
  <c r="AG28" i="2" s="1"/>
  <c r="F29" i="2"/>
  <c r="J29" i="2"/>
  <c r="N29" i="2"/>
  <c r="S29" i="2"/>
  <c r="T29" i="2"/>
  <c r="AE29" i="2"/>
  <c r="AF29" i="2"/>
  <c r="AG29" i="2"/>
  <c r="F30" i="2"/>
  <c r="J30" i="2"/>
  <c r="N30" i="2"/>
  <c r="S30" i="2"/>
  <c r="T30" i="2"/>
  <c r="AE30" i="2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F31" i="2"/>
  <c r="J31" i="2"/>
  <c r="N31" i="2"/>
  <c r="S31" i="2"/>
  <c r="T31" i="2"/>
  <c r="U31" i="2"/>
  <c r="V31" i="2"/>
  <c r="W31" i="2"/>
  <c r="X31" i="2"/>
  <c r="AE31" i="2"/>
  <c r="AF31" i="2"/>
  <c r="AG31" i="2"/>
  <c r="AH31" i="2" s="1"/>
  <c r="AI31" i="2" s="1"/>
  <c r="AJ31" i="2" s="1"/>
  <c r="AK31" i="2" s="1"/>
  <c r="AL31" i="2" s="1"/>
  <c r="AM31" i="2" s="1"/>
  <c r="AN31" i="2" s="1"/>
  <c r="AO31" i="2" s="1"/>
  <c r="F32" i="2"/>
  <c r="J32" i="2"/>
  <c r="N32" i="2"/>
  <c r="S32" i="2"/>
  <c r="T32" i="2"/>
  <c r="AE32" i="2"/>
  <c r="AF32" i="2"/>
  <c r="AG32" i="2"/>
  <c r="AH32" i="2"/>
  <c r="AI32" i="2" s="1"/>
  <c r="AJ32" i="2" s="1"/>
  <c r="AK32" i="2" s="1"/>
  <c r="AL32" i="2" s="1"/>
  <c r="AM32" i="2" s="1"/>
  <c r="AN32" i="2" s="1"/>
  <c r="AO32" i="2" s="1"/>
  <c r="F33" i="2"/>
  <c r="J33" i="2"/>
  <c r="N33" i="2"/>
  <c r="S33" i="2"/>
  <c r="T33" i="2"/>
  <c r="U33" i="2"/>
  <c r="V33" i="2"/>
  <c r="AE33" i="2"/>
  <c r="AF33" i="2"/>
  <c r="AG33" i="2" s="1"/>
  <c r="AH33" i="2" s="1"/>
  <c r="AI33" i="2" s="1"/>
  <c r="AJ33" i="2" s="1"/>
  <c r="AK33" i="2" s="1"/>
  <c r="AL33" i="2" s="1"/>
  <c r="AM33" i="2" s="1"/>
  <c r="AN33" i="2" s="1"/>
  <c r="AO33" i="2" s="1"/>
  <c r="C34" i="2"/>
  <c r="D34" i="2"/>
  <c r="E34" i="2"/>
  <c r="G34" i="2"/>
  <c r="H34" i="2"/>
  <c r="I34" i="2"/>
  <c r="I18" i="2" s="1"/>
  <c r="J34" i="2"/>
  <c r="J18" i="2" s="1"/>
  <c r="K34" i="2"/>
  <c r="K18" i="2" s="1"/>
  <c r="L34" i="2"/>
  <c r="L18" i="2" s="1"/>
  <c r="M34" i="2"/>
  <c r="M35" i="2" s="1"/>
  <c r="O34" i="2"/>
  <c r="O17" i="2" s="1"/>
  <c r="P34" i="2"/>
  <c r="P17" i="2" s="1"/>
  <c r="U34" i="2"/>
  <c r="V34" i="2"/>
  <c r="W34" i="2"/>
  <c r="W35" i="2" s="1"/>
  <c r="X34" i="2"/>
  <c r="X35" i="2" s="1"/>
  <c r="Y34" i="2"/>
  <c r="Z34" i="2"/>
  <c r="AA34" i="2"/>
  <c r="AB34" i="2"/>
  <c r="AC34" i="2"/>
  <c r="AC35" i="2" s="1"/>
  <c r="AD34" i="2"/>
  <c r="AE34" i="2"/>
  <c r="C35" i="2"/>
  <c r="D35" i="2"/>
  <c r="I35" i="2"/>
  <c r="I45" i="2" s="1"/>
  <c r="J35" i="2"/>
  <c r="K35" i="2"/>
  <c r="L35" i="2"/>
  <c r="O35" i="2"/>
  <c r="P35" i="2"/>
  <c r="V35" i="2"/>
  <c r="V37" i="2" s="1"/>
  <c r="Y35" i="2"/>
  <c r="Y45" i="2" s="1"/>
  <c r="Z35" i="2"/>
  <c r="AA35" i="2"/>
  <c r="AB35" i="2"/>
  <c r="C36" i="2"/>
  <c r="C37" i="2" s="1"/>
  <c r="C39" i="2" s="1"/>
  <c r="D36" i="2"/>
  <c r="E36" i="2"/>
  <c r="G36" i="2"/>
  <c r="H36" i="2"/>
  <c r="I36" i="2"/>
  <c r="J36" i="2"/>
  <c r="J37" i="2" s="1"/>
  <c r="J39" i="2" s="1"/>
  <c r="K36" i="2"/>
  <c r="L36" i="2"/>
  <c r="M36" i="2"/>
  <c r="O36" i="2"/>
  <c r="O37" i="2" s="1"/>
  <c r="O39" i="2" s="1"/>
  <c r="P36" i="2"/>
  <c r="U36" i="2"/>
  <c r="V36" i="2"/>
  <c r="W36" i="2"/>
  <c r="X36" i="2"/>
  <c r="Y36" i="2"/>
  <c r="Z36" i="2"/>
  <c r="Z37" i="2" s="1"/>
  <c r="AA36" i="2"/>
  <c r="AB36" i="2"/>
  <c r="F36" i="2" s="1"/>
  <c r="AC36" i="2"/>
  <c r="AD36" i="2"/>
  <c r="N36" i="2" s="1"/>
  <c r="D37" i="2"/>
  <c r="D39" i="2" s="1"/>
  <c r="K37" i="2"/>
  <c r="K39" i="2" s="1"/>
  <c r="L37" i="2"/>
  <c r="P37" i="2"/>
  <c r="P39" i="2" s="1"/>
  <c r="AA37" i="2"/>
  <c r="AA47" i="2" s="1"/>
  <c r="AB37" i="2"/>
  <c r="F38" i="2"/>
  <c r="J38" i="2"/>
  <c r="N38" i="2"/>
  <c r="L39" i="2"/>
  <c r="AB39" i="2"/>
  <c r="L40" i="2"/>
  <c r="AB40" i="2"/>
  <c r="F41" i="2"/>
  <c r="J41" i="2"/>
  <c r="N41" i="2"/>
  <c r="AE41" i="2"/>
  <c r="AF41" i="2"/>
  <c r="AG41" i="2" s="1"/>
  <c r="AH41" i="2" s="1"/>
  <c r="AI41" i="2" s="1"/>
  <c r="AJ41" i="2" s="1"/>
  <c r="AK41" i="2" s="1"/>
  <c r="AL41" i="2" s="1"/>
  <c r="AM41" i="2" s="1"/>
  <c r="AN41" i="2" s="1"/>
  <c r="AO41" i="2" s="1"/>
  <c r="C43" i="2"/>
  <c r="D43" i="2"/>
  <c r="E43" i="2"/>
  <c r="I43" i="2"/>
  <c r="J43" i="2"/>
  <c r="K43" i="2"/>
  <c r="L43" i="2"/>
  <c r="M43" i="2"/>
  <c r="O43" i="2"/>
  <c r="P43" i="2"/>
  <c r="U43" i="2"/>
  <c r="V43" i="2"/>
  <c r="W43" i="2"/>
  <c r="X43" i="2"/>
  <c r="Y43" i="2"/>
  <c r="Z43" i="2"/>
  <c r="AA43" i="2"/>
  <c r="AB43" i="2"/>
  <c r="AC43" i="2"/>
  <c r="AD43" i="2"/>
  <c r="C44" i="2"/>
  <c r="D44" i="2"/>
  <c r="E44" i="2"/>
  <c r="I44" i="2"/>
  <c r="J44" i="2"/>
  <c r="K44" i="2"/>
  <c r="L44" i="2"/>
  <c r="M44" i="2"/>
  <c r="O44" i="2"/>
  <c r="P44" i="2"/>
  <c r="V44" i="2"/>
  <c r="W44" i="2"/>
  <c r="X44" i="2"/>
  <c r="Y44" i="2"/>
  <c r="Z44" i="2"/>
  <c r="AA44" i="2"/>
  <c r="AB44" i="2"/>
  <c r="AC44" i="2"/>
  <c r="C45" i="2"/>
  <c r="D45" i="2"/>
  <c r="J45" i="2"/>
  <c r="K45" i="2"/>
  <c r="L45" i="2"/>
  <c r="O45" i="2"/>
  <c r="P45" i="2"/>
  <c r="V45" i="2"/>
  <c r="Z45" i="2"/>
  <c r="AA45" i="2"/>
  <c r="AB45" i="2"/>
  <c r="L46" i="2"/>
  <c r="AB46" i="2"/>
  <c r="L47" i="2"/>
  <c r="P47" i="2"/>
  <c r="AB47" i="2"/>
  <c r="M49" i="2"/>
  <c r="O49" i="2"/>
  <c r="P49" i="2"/>
  <c r="Q49" i="2"/>
  <c r="W49" i="2"/>
  <c r="X49" i="2"/>
  <c r="Y49" i="2"/>
  <c r="Z49" i="2"/>
  <c r="AA49" i="2"/>
  <c r="AB49" i="2"/>
  <c r="AC49" i="2"/>
  <c r="K56" i="2"/>
  <c r="K55" i="2" s="1"/>
  <c r="L56" i="2"/>
  <c r="L55" i="2" s="1"/>
  <c r="M56" i="2"/>
  <c r="M55" i="2" s="1"/>
  <c r="N56" i="2"/>
  <c r="N55" i="2" s="1"/>
  <c r="O56" i="2"/>
  <c r="O55" i="2" s="1"/>
  <c r="P56" i="2"/>
  <c r="P55" i="2" s="1"/>
  <c r="P60" i="2"/>
  <c r="K65" i="2"/>
  <c r="N65" i="2"/>
  <c r="K68" i="2"/>
  <c r="K73" i="2" s="1"/>
  <c r="K74" i="2" s="1"/>
  <c r="K75" i="2" s="1"/>
  <c r="L68" i="2"/>
  <c r="L73" i="2" s="1"/>
  <c r="M68" i="2"/>
  <c r="N68" i="2"/>
  <c r="N73" i="2" s="1"/>
  <c r="N74" i="2" s="1"/>
  <c r="N75" i="2" s="1"/>
  <c r="O68" i="2"/>
  <c r="O73" i="2" s="1"/>
  <c r="P68" i="2"/>
  <c r="K69" i="2"/>
  <c r="L69" i="2"/>
  <c r="M69" i="2"/>
  <c r="N69" i="2"/>
  <c r="O69" i="2"/>
  <c r="P69" i="2"/>
  <c r="K70" i="2"/>
  <c r="L70" i="2"/>
  <c r="M70" i="2"/>
  <c r="N70" i="2"/>
  <c r="O70" i="2"/>
  <c r="P70" i="2"/>
  <c r="M73" i="2"/>
  <c r="P73" i="2"/>
  <c r="K83" i="2"/>
  <c r="N84" i="2" s="1"/>
  <c r="L83" i="2"/>
  <c r="M83" i="2"/>
  <c r="O84" i="2" s="1"/>
  <c r="N83" i="2"/>
  <c r="O83" i="2"/>
  <c r="P83" i="2"/>
  <c r="N5" i="1"/>
  <c r="N8" i="1" s="1"/>
  <c r="N6" i="1"/>
  <c r="N7" i="1"/>
  <c r="K46" i="2" l="1"/>
  <c r="K40" i="2"/>
  <c r="M37" i="2"/>
  <c r="M45" i="2"/>
  <c r="V47" i="2"/>
  <c r="V39" i="2"/>
  <c r="AD37" i="2"/>
  <c r="AD45" i="2"/>
  <c r="J46" i="2"/>
  <c r="J40" i="2"/>
  <c r="Z39" i="2"/>
  <c r="Z47" i="2"/>
  <c r="C46" i="2"/>
  <c r="C40" i="2"/>
  <c r="AC37" i="2"/>
  <c r="AC45" i="2"/>
  <c r="X37" i="2"/>
  <c r="X39" i="2" s="1"/>
  <c r="X45" i="2"/>
  <c r="AG34" i="2"/>
  <c r="AH28" i="2"/>
  <c r="W45" i="2"/>
  <c r="W37" i="2"/>
  <c r="AD55" i="2"/>
  <c r="P46" i="2"/>
  <c r="P40" i="2"/>
  <c r="F35" i="2"/>
  <c r="J49" i="2"/>
  <c r="F44" i="2"/>
  <c r="D40" i="2"/>
  <c r="D46" i="2"/>
  <c r="O40" i="2"/>
  <c r="O46" i="2"/>
  <c r="N18" i="2"/>
  <c r="N17" i="2"/>
  <c r="G44" i="2"/>
  <c r="F43" i="2"/>
  <c r="AA39" i="2"/>
  <c r="AH29" i="2"/>
  <c r="J16" i="2"/>
  <c r="U44" i="2"/>
  <c r="AD49" i="2"/>
  <c r="Y37" i="2"/>
  <c r="I37" i="2"/>
  <c r="G35" i="2"/>
  <c r="O18" i="2"/>
  <c r="K17" i="2"/>
  <c r="AD44" i="2"/>
  <c r="U35" i="2"/>
  <c r="E35" i="2"/>
  <c r="AF34" i="2"/>
  <c r="M18" i="2"/>
  <c r="I17" i="2"/>
  <c r="P65" i="2"/>
  <c r="P74" i="2" s="1"/>
  <c r="P75" i="2" s="1"/>
  <c r="L49" i="2"/>
  <c r="O65" i="2"/>
  <c r="O74" i="2" s="1"/>
  <c r="O75" i="2" s="1"/>
  <c r="K49" i="2"/>
  <c r="N27" i="2"/>
  <c r="H35" i="2"/>
  <c r="P84" i="2"/>
  <c r="N16" i="2"/>
  <c r="M65" i="2"/>
  <c r="M74" i="2" s="1"/>
  <c r="M75" i="2" s="1"/>
  <c r="L65" i="2"/>
  <c r="L74" i="2" s="1"/>
  <c r="L75" i="2" s="1"/>
  <c r="H49" i="2"/>
  <c r="H43" i="2"/>
  <c r="G49" i="2"/>
  <c r="Y47" i="2" l="1"/>
  <c r="Y39" i="2"/>
  <c r="AR48" i="2"/>
  <c r="W47" i="2"/>
  <c r="W39" i="2"/>
  <c r="Z46" i="2"/>
  <c r="Z40" i="2"/>
  <c r="G45" i="2"/>
  <c r="G37" i="2"/>
  <c r="E37" i="2"/>
  <c r="E39" i="2" s="1"/>
  <c r="E45" i="2"/>
  <c r="AI28" i="2"/>
  <c r="AH34" i="2"/>
  <c r="AI29" i="2"/>
  <c r="M39" i="2"/>
  <c r="M47" i="2"/>
  <c r="I39" i="2"/>
  <c r="I47" i="2"/>
  <c r="U37" i="2"/>
  <c r="U45" i="2"/>
  <c r="H37" i="2"/>
  <c r="H45" i="2"/>
  <c r="AA46" i="2"/>
  <c r="AA40" i="2"/>
  <c r="AD39" i="2"/>
  <c r="AD47" i="2"/>
  <c r="N49" i="2"/>
  <c r="N35" i="2"/>
  <c r="N15" i="2"/>
  <c r="N44" i="2"/>
  <c r="R27" i="2"/>
  <c r="F45" i="2"/>
  <c r="F37" i="2"/>
  <c r="X40" i="2"/>
  <c r="X46" i="2"/>
  <c r="V40" i="2"/>
  <c r="V46" i="2"/>
  <c r="N43" i="2"/>
  <c r="AC39" i="2"/>
  <c r="AC47" i="2"/>
  <c r="AC46" i="2" l="1"/>
  <c r="AC40" i="2"/>
  <c r="M46" i="2"/>
  <c r="M40" i="2"/>
  <c r="M77" i="2"/>
  <c r="M78" i="2" s="1"/>
  <c r="W46" i="2"/>
  <c r="W40" i="2"/>
  <c r="N37" i="2"/>
  <c r="N39" i="2" s="1"/>
  <c r="N77" i="2" s="1"/>
  <c r="N78" i="2" s="1"/>
  <c r="N45" i="2"/>
  <c r="AJ29" i="2"/>
  <c r="E40" i="2"/>
  <c r="E46" i="2"/>
  <c r="AD46" i="2"/>
  <c r="AD40" i="2"/>
  <c r="AI34" i="2"/>
  <c r="AJ28" i="2"/>
  <c r="Y46" i="2"/>
  <c r="Y40" i="2"/>
  <c r="F39" i="2"/>
  <c r="F47" i="2"/>
  <c r="H39" i="2"/>
  <c r="H47" i="2"/>
  <c r="R29" i="2"/>
  <c r="R28" i="2"/>
  <c r="R49" i="2"/>
  <c r="AE27" i="2"/>
  <c r="U47" i="2"/>
  <c r="U39" i="2"/>
  <c r="G39" i="2"/>
  <c r="G47" i="2"/>
  <c r="I46" i="2"/>
  <c r="I40" i="2"/>
  <c r="L77" i="2"/>
  <c r="L78" i="2" s="1"/>
  <c r="F46" i="2" l="1"/>
  <c r="F40" i="2"/>
  <c r="AJ34" i="2"/>
  <c r="AK28" i="2"/>
  <c r="AK29" i="2"/>
  <c r="J77" i="2"/>
  <c r="G46" i="2"/>
  <c r="G40" i="2"/>
  <c r="N46" i="2"/>
  <c r="N40" i="2"/>
  <c r="U46" i="2"/>
  <c r="U40" i="2"/>
  <c r="AE44" i="2"/>
  <c r="AE35" i="2"/>
  <c r="AE37" i="2" s="1"/>
  <c r="AE43" i="2"/>
  <c r="AF27" i="2"/>
  <c r="AE49" i="2"/>
  <c r="O77" i="2"/>
  <c r="O78" i="2" s="1"/>
  <c r="H40" i="2"/>
  <c r="K77" i="2"/>
  <c r="K78" i="2" s="1"/>
  <c r="H46" i="2"/>
  <c r="P77" i="2"/>
  <c r="P78" i="2" s="1"/>
  <c r="AL29" i="2" l="1"/>
  <c r="AE39" i="2"/>
  <c r="AE38" i="2"/>
  <c r="AF43" i="2"/>
  <c r="AF35" i="2"/>
  <c r="AF49" i="2"/>
  <c r="AG27" i="2"/>
  <c r="AF44" i="2"/>
  <c r="AL28" i="2"/>
  <c r="AK34" i="2"/>
  <c r="AE40" i="2" l="1"/>
  <c r="AM29" i="2"/>
  <c r="AL34" i="2"/>
  <c r="AM28" i="2"/>
  <c r="AG35" i="2"/>
  <c r="AH27" i="2"/>
  <c r="AG49" i="2"/>
  <c r="AG44" i="2"/>
  <c r="AG43" i="2"/>
  <c r="AI27" i="2" l="1"/>
  <c r="AH49" i="2"/>
  <c r="AH35" i="2"/>
  <c r="AH44" i="2"/>
  <c r="AH43" i="2"/>
  <c r="AM34" i="2"/>
  <c r="AN28" i="2"/>
  <c r="AN29" i="2"/>
  <c r="AF37" i="2"/>
  <c r="AO29" i="2" l="1"/>
  <c r="AO28" i="2"/>
  <c r="AN34" i="2"/>
  <c r="AF38" i="2"/>
  <c r="AF39" i="2" s="1"/>
  <c r="AJ27" i="2"/>
  <c r="AI49" i="2"/>
  <c r="AI35" i="2"/>
  <c r="AI44" i="2"/>
  <c r="AI43" i="2"/>
  <c r="AF40" i="2" l="1"/>
  <c r="AK27" i="2"/>
  <c r="AJ49" i="2"/>
  <c r="AJ35" i="2"/>
  <c r="AJ44" i="2"/>
  <c r="AJ43" i="2"/>
  <c r="AO34" i="2"/>
  <c r="AG36" i="2" l="1"/>
  <c r="AG37" i="2" s="1"/>
  <c r="AL27" i="2"/>
  <c r="AK49" i="2"/>
  <c r="AK35" i="2"/>
  <c r="AK44" i="2"/>
  <c r="AK43" i="2"/>
  <c r="AG38" i="2" l="1"/>
  <c r="AG39" i="2" s="1"/>
  <c r="AM27" i="2"/>
  <c r="AL49" i="2"/>
  <c r="AL35" i="2"/>
  <c r="AL44" i="2"/>
  <c r="AL43" i="2"/>
  <c r="AG40" i="2" l="1"/>
  <c r="AG55" i="2"/>
  <c r="AM35" i="2"/>
  <c r="AN27" i="2"/>
  <c r="AM49" i="2"/>
  <c r="AM44" i="2"/>
  <c r="AM43" i="2"/>
  <c r="AH36" i="2" l="1"/>
  <c r="AH37" i="2" s="1"/>
  <c r="AN35" i="2"/>
  <c r="AO27" i="2"/>
  <c r="AN49" i="2"/>
  <c r="AN44" i="2"/>
  <c r="AN43" i="2"/>
  <c r="AH38" i="2" l="1"/>
  <c r="AH39" i="2" s="1"/>
  <c r="AO35" i="2"/>
  <c r="AO49" i="2"/>
  <c r="AO44" i="2"/>
  <c r="AO43" i="2"/>
  <c r="AH40" i="2" l="1"/>
  <c r="AH55" i="2"/>
  <c r="AI36" i="2" l="1"/>
  <c r="AI37" i="2" s="1"/>
  <c r="AI38" i="2" l="1"/>
  <c r="AI39" i="2" s="1"/>
  <c r="AI40" i="2" l="1"/>
  <c r="AI55" i="2"/>
  <c r="AJ36" i="2" l="1"/>
  <c r="AJ37" i="2" s="1"/>
  <c r="AJ39" i="2" l="1"/>
  <c r="AJ38" i="2"/>
  <c r="AJ40" i="2" l="1"/>
  <c r="AJ55" i="2"/>
  <c r="AK36" i="2" l="1"/>
  <c r="AK37" i="2" s="1"/>
  <c r="AK38" i="2" l="1"/>
  <c r="AK39" i="2"/>
  <c r="AK40" i="2" l="1"/>
  <c r="AK55" i="2"/>
  <c r="AL36" i="2" l="1"/>
  <c r="AL37" i="2" s="1"/>
  <c r="AL38" i="2" l="1"/>
  <c r="AL39" i="2" s="1"/>
  <c r="AL40" i="2" l="1"/>
  <c r="AL55" i="2"/>
  <c r="AM36" i="2" l="1"/>
  <c r="AM37" i="2" s="1"/>
  <c r="AM38" i="2" l="1"/>
  <c r="AM39" i="2" s="1"/>
  <c r="AM40" i="2" l="1"/>
  <c r="AM55" i="2"/>
  <c r="AN36" i="2" l="1"/>
  <c r="AN37" i="2" s="1"/>
  <c r="AN38" i="2" l="1"/>
  <c r="AN39" i="2" s="1"/>
  <c r="AN40" i="2" l="1"/>
  <c r="AN55" i="2"/>
  <c r="AO36" i="2" l="1"/>
  <c r="AO37" i="2" s="1"/>
  <c r="AO38" i="2" l="1"/>
  <c r="AO39" i="2" s="1"/>
  <c r="AP39" i="2" l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BN39" i="2" s="1"/>
  <c r="BO39" i="2" s="1"/>
  <c r="BP39" i="2" s="1"/>
  <c r="BQ39" i="2" s="1"/>
  <c r="BR39" i="2" s="1"/>
  <c r="BS39" i="2" s="1"/>
  <c r="BT39" i="2" s="1"/>
  <c r="BU39" i="2" s="1"/>
  <c r="BV39" i="2" s="1"/>
  <c r="BW39" i="2" s="1"/>
  <c r="BX39" i="2" s="1"/>
  <c r="BY39" i="2" s="1"/>
  <c r="BZ39" i="2" s="1"/>
  <c r="CA39" i="2" s="1"/>
  <c r="CB39" i="2" s="1"/>
  <c r="CC39" i="2" s="1"/>
  <c r="CD39" i="2" s="1"/>
  <c r="CE39" i="2" s="1"/>
  <c r="CF39" i="2" s="1"/>
  <c r="CG39" i="2" s="1"/>
  <c r="CH39" i="2" s="1"/>
  <c r="CI39" i="2" s="1"/>
  <c r="CJ39" i="2" s="1"/>
  <c r="CK39" i="2" s="1"/>
  <c r="CL39" i="2" s="1"/>
  <c r="CM39" i="2" s="1"/>
  <c r="CN39" i="2" s="1"/>
  <c r="CO39" i="2" s="1"/>
  <c r="CP39" i="2" s="1"/>
  <c r="CQ39" i="2" s="1"/>
  <c r="CR39" i="2" s="1"/>
  <c r="CS39" i="2" s="1"/>
  <c r="CT39" i="2" s="1"/>
  <c r="CU39" i="2" s="1"/>
  <c r="CV39" i="2" s="1"/>
  <c r="CW39" i="2" s="1"/>
  <c r="CX39" i="2" s="1"/>
  <c r="CY39" i="2" s="1"/>
  <c r="CZ39" i="2" s="1"/>
  <c r="DA39" i="2" s="1"/>
  <c r="DB39" i="2" s="1"/>
  <c r="DC39" i="2" s="1"/>
  <c r="DD39" i="2" s="1"/>
  <c r="DE39" i="2" s="1"/>
  <c r="DF39" i="2" s="1"/>
  <c r="DG39" i="2" s="1"/>
  <c r="DH39" i="2" s="1"/>
  <c r="DI39" i="2" s="1"/>
  <c r="DJ39" i="2" s="1"/>
  <c r="DK39" i="2" s="1"/>
  <c r="DL39" i="2" s="1"/>
  <c r="DM39" i="2" s="1"/>
  <c r="DN39" i="2" s="1"/>
  <c r="DO39" i="2" s="1"/>
  <c r="DP39" i="2" s="1"/>
  <c r="DQ39" i="2" s="1"/>
  <c r="DR39" i="2" s="1"/>
  <c r="DS39" i="2" s="1"/>
  <c r="DT39" i="2" s="1"/>
  <c r="DU39" i="2" s="1"/>
  <c r="DV39" i="2" s="1"/>
  <c r="DW39" i="2" s="1"/>
  <c r="DX39" i="2" s="1"/>
  <c r="DY39" i="2" s="1"/>
  <c r="DZ39" i="2" s="1"/>
  <c r="EA39" i="2" s="1"/>
  <c r="EB39" i="2" s="1"/>
  <c r="EC39" i="2" s="1"/>
  <c r="ED39" i="2" s="1"/>
  <c r="EE39" i="2" s="1"/>
  <c r="EF39" i="2" s="1"/>
  <c r="EG39" i="2" s="1"/>
  <c r="EH39" i="2" s="1"/>
  <c r="EI39" i="2" s="1"/>
  <c r="EJ39" i="2" s="1"/>
  <c r="EK39" i="2" s="1"/>
  <c r="EL39" i="2" s="1"/>
  <c r="AO40" i="2"/>
  <c r="AO55" i="2"/>
  <c r="AR5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Hesselberth</author>
  </authors>
  <commentList>
    <comment ref="C39" authorId="0" shapeId="0" xr:uid="{FDFCD05C-8D66-491E-9735-3C2E08E4FC9E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Payroll support 1448M</t>
        </r>
      </text>
    </comment>
    <comment ref="D39" authorId="0" shapeId="0" xr:uid="{24BBA92A-60C3-485D-BA15-940FAD543016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Payroll support 740M</t>
        </r>
      </text>
    </comment>
    <comment ref="E39" authorId="0" shapeId="0" xr:uid="{31777F13-205B-4B79-8E8E-CB9ADF14076C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Payroll support 776M</t>
        </r>
      </text>
    </comment>
    <comment ref="F39" authorId="0" shapeId="0" xr:uid="{48BA77C8-5FBB-4826-A9EE-7D91A8587091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Payroll support 776M</t>
        </r>
      </text>
    </comment>
    <comment ref="AA39" authorId="0" shapeId="0" xr:uid="{72F0E2E0-5859-4722-88B4-ABC7C048A467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Payroll support 967M
</t>
        </r>
      </text>
    </comment>
    <comment ref="AB39" authorId="0" shapeId="0" xr:uid="{8E5598C7-854C-477D-B629-06AB17CA39AF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Payroll support 2.960M
</t>
        </r>
      </text>
    </comment>
  </commentList>
</comments>
</file>

<file path=xl/sharedStrings.xml><?xml version="1.0" encoding="utf-8"?>
<sst xmlns="http://schemas.openxmlformats.org/spreadsheetml/2006/main" count="131" uniqueCount="113">
  <si>
    <t>Bob Jordan</t>
  </si>
  <si>
    <t>Vice chairman of the board of directors:</t>
  </si>
  <si>
    <t>Tammy Romo</t>
  </si>
  <si>
    <t>CFO</t>
  </si>
  <si>
    <t>CEO</t>
  </si>
  <si>
    <t>Dallas, Texas, Verenigde Staten</t>
  </si>
  <si>
    <t>Headquaters</t>
  </si>
  <si>
    <t>Herb Kelleher, Rollin King</t>
  </si>
  <si>
    <t>Founder(s)</t>
  </si>
  <si>
    <t>Founded</t>
  </si>
  <si>
    <t>EV</t>
  </si>
  <si>
    <t>Debt</t>
  </si>
  <si>
    <t>Cash</t>
  </si>
  <si>
    <t>MC</t>
  </si>
  <si>
    <t>Shares</t>
  </si>
  <si>
    <t>Sold to many seats to early in the booking curve</t>
  </si>
  <si>
    <t>Price</t>
  </si>
  <si>
    <t>Event take away's</t>
  </si>
  <si>
    <t>(LUV)</t>
  </si>
  <si>
    <t>Southwest Airlines</t>
  </si>
  <si>
    <t>Aircraft at end of period</t>
  </si>
  <si>
    <t>Employees (fulltime)</t>
  </si>
  <si>
    <t>as of Jan25 2024</t>
  </si>
  <si>
    <t>Order Book</t>
  </si>
  <si>
    <t>TTM FCF</t>
  </si>
  <si>
    <t>FCF</t>
  </si>
  <si>
    <t>CapEx</t>
  </si>
  <si>
    <t>CFFO</t>
  </si>
  <si>
    <t>Return on tangible bookvalue</t>
  </si>
  <si>
    <t>TTM NI</t>
  </si>
  <si>
    <t>L+S/E</t>
  </si>
  <si>
    <t>S/E</t>
  </si>
  <si>
    <t>Liabilties</t>
  </si>
  <si>
    <t>Other</t>
  </si>
  <si>
    <t>DT</t>
  </si>
  <si>
    <t xml:space="preserve">Air traffic </t>
  </si>
  <si>
    <t>Lease</t>
  </si>
  <si>
    <t>Accrued</t>
  </si>
  <si>
    <t>A/P</t>
  </si>
  <si>
    <t>Assets</t>
  </si>
  <si>
    <t>Goodwill</t>
  </si>
  <si>
    <t>Less allowance for D&amp;A</t>
  </si>
  <si>
    <t>PP&amp;E</t>
  </si>
  <si>
    <t>Prepaid</t>
  </si>
  <si>
    <t>Inventories</t>
  </si>
  <si>
    <t>A/R</t>
  </si>
  <si>
    <t>Net cash</t>
  </si>
  <si>
    <t>Upside</t>
  </si>
  <si>
    <t>Current price</t>
  </si>
  <si>
    <t>Per share</t>
  </si>
  <si>
    <t>Total value</t>
  </si>
  <si>
    <t>Revenue y/y</t>
  </si>
  <si>
    <t>NPV</t>
  </si>
  <si>
    <t>N/A</t>
  </si>
  <si>
    <t>Tax rate</t>
  </si>
  <si>
    <t>ROIC</t>
  </si>
  <si>
    <t>Net margin</t>
  </si>
  <si>
    <t>Discount value</t>
  </si>
  <si>
    <t>Operating margin</t>
  </si>
  <si>
    <t>Terminal value</t>
  </si>
  <si>
    <t>Fuel margin</t>
  </si>
  <si>
    <t>Salaries margin</t>
  </si>
  <si>
    <t>EPS</t>
  </si>
  <si>
    <t>Net income</t>
  </si>
  <si>
    <t>Taxes</t>
  </si>
  <si>
    <t>Pretax</t>
  </si>
  <si>
    <t>Interest expense</t>
  </si>
  <si>
    <t>OpInc</t>
  </si>
  <si>
    <t>OpEx</t>
  </si>
  <si>
    <t>D&amp;A</t>
  </si>
  <si>
    <t>Landing fees &amp;rentals</t>
  </si>
  <si>
    <t>Maintenance</t>
  </si>
  <si>
    <t>Fuel</t>
  </si>
  <si>
    <t>Salaries</t>
  </si>
  <si>
    <t>Revenue</t>
  </si>
  <si>
    <t>CAGR</t>
  </si>
  <si>
    <t>Freight</t>
  </si>
  <si>
    <t>Passenger</t>
  </si>
  <si>
    <t>Fuel consumed, in gallons (in millions)</t>
  </si>
  <si>
    <t>Fuel cost per gallon, incl fuel tax (unhedged)</t>
  </si>
  <si>
    <t>Fuel efficiency</t>
  </si>
  <si>
    <t>CASM excl fuel and oil</t>
  </si>
  <si>
    <t>CASM</t>
  </si>
  <si>
    <t>PRASM</t>
  </si>
  <si>
    <t>RASM</t>
  </si>
  <si>
    <t>Passenger revenue yield per RPM</t>
  </si>
  <si>
    <t>Avg passenger fare</t>
  </si>
  <si>
    <t>Seats per trip</t>
  </si>
  <si>
    <t>Seats flown (000s)</t>
  </si>
  <si>
    <t>Trips flown</t>
  </si>
  <si>
    <t>Avg aircraft stage lenght (miles)</t>
  </si>
  <si>
    <t>Avg lenght of passenger haul (miles)</t>
  </si>
  <si>
    <t>Load factor</t>
  </si>
  <si>
    <t>ASMs (in millions)</t>
  </si>
  <si>
    <t>RPMs (in millions)</t>
  </si>
  <si>
    <t>Enplaned passengers (000s)</t>
  </si>
  <si>
    <t>RPC (000s)</t>
  </si>
  <si>
    <t>Q424</t>
  </si>
  <si>
    <t>Q324</t>
  </si>
  <si>
    <t>Q224</t>
  </si>
  <si>
    <t>Q124</t>
  </si>
  <si>
    <t>Q423</t>
  </si>
  <si>
    <t>Q323</t>
  </si>
  <si>
    <t>Q223</t>
  </si>
  <si>
    <t>Q123</t>
  </si>
  <si>
    <t>Q422</t>
  </si>
  <si>
    <t>Q322</t>
  </si>
  <si>
    <t>Q222</t>
  </si>
  <si>
    <t>Q122</t>
  </si>
  <si>
    <t>Q421</t>
  </si>
  <si>
    <t>Q321</t>
  </si>
  <si>
    <t>Q221</t>
  </si>
  <si>
    <t>Q121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</si>
</sst>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"/>
    <numFmt numFmtId="166" formatCode="0.0%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  <font>
      <i/>
      <sz val="10"/>
      <color theme="0" tint="-0.4999847407452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left"/>
    </xf>
    <xf numFmtId="3" fontId="2" fillId="0" borderId="0" xfId="0" applyNumberFormat="1" applyFont="1"/>
    <xf numFmtId="9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4" fontId="0" fillId="0" borderId="0" xfId="0" applyNumberFormat="1"/>
    <xf numFmtId="9" fontId="0" fillId="0" borderId="0" xfId="0" applyNumberFormat="1" applyAlignment="1">
      <alignment horizontal="right"/>
    </xf>
    <xf numFmtId="3" fontId="1" fillId="2" borderId="0" xfId="0" applyNumberFormat="1" applyFont="1" applyFill="1"/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2" borderId="0" xfId="0" applyNumberFormat="1" applyFill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3" fontId="3" fillId="0" borderId="0" xfId="0" applyNumberFormat="1" applyFont="1"/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4" fontId="3" fillId="0" borderId="0" xfId="0" applyNumberFormat="1" applyFont="1"/>
    <xf numFmtId="4" fontId="3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19050</xdr:rowOff>
    </xdr:from>
    <xdr:to>
      <xdr:col>16</xdr:col>
      <xdr:colOff>19050</xdr:colOff>
      <xdr:row>94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D95F56C-6206-4156-804F-194DFCCE8CA3}"/>
            </a:ext>
          </a:extLst>
        </xdr:cNvPr>
        <xdr:cNvCxnSpPr/>
      </xdr:nvCxnSpPr>
      <xdr:spPr>
        <a:xfrm>
          <a:off x="9772650" y="19050"/>
          <a:ext cx="0" cy="1531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0</xdr:row>
      <xdr:rowOff>76200</xdr:rowOff>
    </xdr:from>
    <xdr:to>
      <xdr:col>30</xdr:col>
      <xdr:colOff>28575</xdr:colOff>
      <xdr:row>95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BCEDEA9-44E3-48F2-B3E4-18AB2E29985D}"/>
            </a:ext>
          </a:extLst>
        </xdr:cNvPr>
        <xdr:cNvCxnSpPr/>
      </xdr:nvCxnSpPr>
      <xdr:spPr>
        <a:xfrm>
          <a:off x="18316575" y="76200"/>
          <a:ext cx="0" cy="15335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40ED-D55F-44FF-8896-9E82FAE95E09}">
  <dimension ref="E1:Q21"/>
  <sheetViews>
    <sheetView topLeftCell="D1" workbookViewId="0">
      <selection activeCell="H32" sqref="H32"/>
    </sheetView>
  </sheetViews>
  <sheetFormatPr defaultRowHeight="12.75" x14ac:dyDescent="0.2"/>
  <cols>
    <col min="1" max="1" width="2.28515625" customWidth="1"/>
    <col min="4" max="4" width="2.42578125" customWidth="1"/>
    <col min="13" max="13" width="11.42578125" customWidth="1"/>
  </cols>
  <sheetData>
    <row r="1" spans="5:14" ht="30" x14ac:dyDescent="0.4">
      <c r="E1" s="5" t="s">
        <v>19</v>
      </c>
    </row>
    <row r="2" spans="5:14" x14ac:dyDescent="0.2">
      <c r="E2" s="4" t="s">
        <v>18</v>
      </c>
    </row>
    <row r="3" spans="5:14" x14ac:dyDescent="0.2">
      <c r="F3" s="3" t="s">
        <v>17</v>
      </c>
      <c r="M3" t="s">
        <v>16</v>
      </c>
      <c r="N3">
        <v>29.7</v>
      </c>
    </row>
    <row r="4" spans="5:14" x14ac:dyDescent="0.2">
      <c r="F4" t="s">
        <v>15</v>
      </c>
      <c r="M4" t="s">
        <v>14</v>
      </c>
      <c r="N4" s="2">
        <v>599.15701899999999</v>
      </c>
    </row>
    <row r="5" spans="5:14" x14ac:dyDescent="0.2">
      <c r="M5" t="s">
        <v>13</v>
      </c>
      <c r="N5" s="2">
        <f>+N3*N4</f>
        <v>17794.963464299999</v>
      </c>
    </row>
    <row r="6" spans="5:14" x14ac:dyDescent="0.2">
      <c r="M6" t="s">
        <v>12</v>
      </c>
      <c r="N6" s="2">
        <f>8142+1860</f>
        <v>10002</v>
      </c>
    </row>
    <row r="7" spans="5:14" x14ac:dyDescent="0.2">
      <c r="M7" t="s">
        <v>11</v>
      </c>
      <c r="N7" s="2">
        <f>2931+5065</f>
        <v>7996</v>
      </c>
    </row>
    <row r="8" spans="5:14" x14ac:dyDescent="0.2">
      <c r="M8" t="s">
        <v>10</v>
      </c>
      <c r="N8" s="2">
        <f>+N5-N6+N7</f>
        <v>15788.963464299999</v>
      </c>
    </row>
    <row r="10" spans="5:14" x14ac:dyDescent="0.2">
      <c r="M10" t="s">
        <v>9</v>
      </c>
      <c r="N10">
        <v>1971</v>
      </c>
    </row>
    <row r="11" spans="5:14" x14ac:dyDescent="0.2">
      <c r="M11" t="s">
        <v>8</v>
      </c>
      <c r="N11" t="s">
        <v>7</v>
      </c>
    </row>
    <row r="12" spans="5:14" x14ac:dyDescent="0.2">
      <c r="M12" t="s">
        <v>6</v>
      </c>
      <c r="N12" t="s">
        <v>5</v>
      </c>
    </row>
    <row r="14" spans="5:14" x14ac:dyDescent="0.2">
      <c r="M14" t="s">
        <v>4</v>
      </c>
      <c r="N14" t="s">
        <v>0</v>
      </c>
    </row>
    <row r="15" spans="5:14" x14ac:dyDescent="0.2">
      <c r="M15" t="s">
        <v>3</v>
      </c>
      <c r="N15" t="s">
        <v>2</v>
      </c>
    </row>
    <row r="17" spans="8:17" x14ac:dyDescent="0.2">
      <c r="M17" t="s">
        <v>1</v>
      </c>
      <c r="Q17" t="s">
        <v>0</v>
      </c>
    </row>
    <row r="20" spans="8:17" x14ac:dyDescent="0.2">
      <c r="H20" s="1"/>
    </row>
    <row r="21" spans="8:17" x14ac:dyDescent="0.2">
      <c r="H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4FCF-C71E-486E-992A-6FF72A3F57B9}">
  <dimension ref="B1:EL91"/>
  <sheetViews>
    <sheetView tabSelected="1" workbookViewId="0">
      <pane xSplit="2" ySplit="2" topLeftCell="AA24" activePane="bottomRight" state="frozen"/>
      <selection pane="topRight" activeCell="C1" sqref="C1"/>
      <selection pane="bottomLeft" activeCell="A3" sqref="A3"/>
      <selection pane="bottomRight" activeCell="AE36" sqref="AE36"/>
    </sheetView>
  </sheetViews>
  <sheetFormatPr defaultRowHeight="12.75" x14ac:dyDescent="0.2"/>
  <cols>
    <col min="1" max="1" width="2.28515625" style="2" customWidth="1"/>
    <col min="2" max="2" width="24.28515625" style="2" customWidth="1"/>
    <col min="3" max="15" width="9.140625" style="2"/>
    <col min="16" max="16" width="10.140625" style="2" bestFit="1" customWidth="1"/>
    <col min="17" max="17" width="9.140625" style="2" customWidth="1"/>
    <col min="18" max="19" width="9.28515625" style="2" customWidth="1"/>
    <col min="20" max="20" width="9.140625" style="6" customWidth="1"/>
    <col min="21" max="22" width="9.140625" style="2"/>
    <col min="23" max="23" width="9.140625" style="2" customWidth="1"/>
    <col min="24" max="42" width="9.140625" style="2"/>
    <col min="43" max="43" width="13.140625" style="2" bestFit="1" customWidth="1"/>
    <col min="44" max="44" width="8" style="2" customWidth="1"/>
    <col min="45" max="47" width="9.140625" style="2"/>
    <col min="48" max="48" width="13.140625" style="2" bestFit="1" customWidth="1"/>
    <col min="49" max="16384" width="9.140625" style="2"/>
  </cols>
  <sheetData>
    <row r="1" spans="2:46" ht="30" x14ac:dyDescent="0.4">
      <c r="B1" s="5" t="s">
        <v>19</v>
      </c>
    </row>
    <row r="2" spans="2:46" x14ac:dyDescent="0.2">
      <c r="B2" s="4" t="s">
        <v>18</v>
      </c>
      <c r="C2" s="17" t="s">
        <v>112</v>
      </c>
      <c r="D2" s="17" t="s">
        <v>111</v>
      </c>
      <c r="E2" s="17" t="s">
        <v>110</v>
      </c>
      <c r="F2" s="17" t="s">
        <v>109</v>
      </c>
      <c r="G2" s="17" t="s">
        <v>108</v>
      </c>
      <c r="H2" s="17" t="s">
        <v>107</v>
      </c>
      <c r="I2" s="17" t="s">
        <v>106</v>
      </c>
      <c r="J2" s="17" t="s">
        <v>105</v>
      </c>
      <c r="K2" s="17" t="s">
        <v>104</v>
      </c>
      <c r="L2" s="17" t="s">
        <v>103</v>
      </c>
      <c r="M2" s="17" t="s">
        <v>102</v>
      </c>
      <c r="N2" s="17" t="s">
        <v>101</v>
      </c>
      <c r="O2" s="17" t="s">
        <v>100</v>
      </c>
      <c r="P2" s="17" t="s">
        <v>99</v>
      </c>
      <c r="Q2" s="17" t="s">
        <v>98</v>
      </c>
      <c r="R2" s="17" t="s">
        <v>97</v>
      </c>
      <c r="S2" s="17"/>
      <c r="U2">
        <v>2014</v>
      </c>
      <c r="V2">
        <f t="shared" ref="V2:AO2" si="0">+U2+1</f>
        <v>2015</v>
      </c>
      <c r="W2">
        <f t="shared" si="0"/>
        <v>2016</v>
      </c>
      <c r="X2">
        <f t="shared" si="0"/>
        <v>2017</v>
      </c>
      <c r="Y2">
        <f t="shared" si="0"/>
        <v>2018</v>
      </c>
      <c r="Z2">
        <f t="shared" si="0"/>
        <v>2019</v>
      </c>
      <c r="AA2">
        <f t="shared" si="0"/>
        <v>2020</v>
      </c>
      <c r="AB2">
        <f t="shared" si="0"/>
        <v>2021</v>
      </c>
      <c r="AC2">
        <f t="shared" si="0"/>
        <v>2022</v>
      </c>
      <c r="AD2">
        <f t="shared" si="0"/>
        <v>2023</v>
      </c>
      <c r="AE2">
        <f t="shared" si="0"/>
        <v>2024</v>
      </c>
      <c r="AF2">
        <f t="shared" si="0"/>
        <v>2025</v>
      </c>
      <c r="AG2">
        <f t="shared" si="0"/>
        <v>2026</v>
      </c>
      <c r="AH2">
        <f t="shared" si="0"/>
        <v>2027</v>
      </c>
      <c r="AI2">
        <f t="shared" si="0"/>
        <v>2028</v>
      </c>
      <c r="AJ2">
        <f t="shared" si="0"/>
        <v>2029</v>
      </c>
      <c r="AK2">
        <f t="shared" si="0"/>
        <v>2030</v>
      </c>
      <c r="AL2">
        <f t="shared" si="0"/>
        <v>2031</v>
      </c>
      <c r="AM2">
        <f t="shared" si="0"/>
        <v>2032</v>
      </c>
      <c r="AN2">
        <f t="shared" si="0"/>
        <v>2033</v>
      </c>
      <c r="AO2">
        <f t="shared" si="0"/>
        <v>2034</v>
      </c>
      <c r="AP2"/>
      <c r="AQ2"/>
      <c r="AR2"/>
      <c r="AS2"/>
      <c r="AT2"/>
    </row>
    <row r="3" spans="2:46" x14ac:dyDescent="0.2">
      <c r="B3" s="2" t="s">
        <v>96</v>
      </c>
      <c r="C3" s="17"/>
      <c r="D3" s="17"/>
      <c r="E3" s="17"/>
      <c r="F3" s="17"/>
      <c r="G3" s="17"/>
      <c r="H3" s="17"/>
      <c r="I3" s="17">
        <v>34434</v>
      </c>
      <c r="J3" s="17">
        <v>32899</v>
      </c>
      <c r="K3" s="17">
        <v>30231</v>
      </c>
      <c r="L3" s="17">
        <v>35715</v>
      </c>
      <c r="M3" s="17">
        <v>25349</v>
      </c>
      <c r="N3" s="17">
        <v>35983</v>
      </c>
      <c r="O3" s="17">
        <v>32872</v>
      </c>
      <c r="P3" s="17">
        <v>37509</v>
      </c>
      <c r="Q3" s="17"/>
      <c r="R3" s="17"/>
      <c r="S3" s="17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2:46" x14ac:dyDescent="0.2">
      <c r="B4" s="2" t="s">
        <v>95</v>
      </c>
      <c r="C4" s="17"/>
      <c r="D4" s="17"/>
      <c r="E4" s="17"/>
      <c r="F4" s="17"/>
      <c r="G4" s="17"/>
      <c r="H4" s="17"/>
      <c r="I4" s="17">
        <v>43157</v>
      </c>
      <c r="J4" s="17">
        <v>40536</v>
      </c>
      <c r="K4" s="17">
        <v>37666</v>
      </c>
      <c r="L4" s="17">
        <v>44787</v>
      </c>
      <c r="M4" s="17">
        <v>44598</v>
      </c>
      <c r="N4" s="17">
        <v>44766</v>
      </c>
      <c r="O4" s="17">
        <v>40897</v>
      </c>
      <c r="P4" s="17">
        <v>47267</v>
      </c>
      <c r="Q4" s="17"/>
      <c r="R4" s="17"/>
      <c r="S4" s="1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2:46" x14ac:dyDescent="0.2">
      <c r="B5" s="2" t="s">
        <v>94</v>
      </c>
      <c r="C5" s="17"/>
      <c r="D5" s="17"/>
      <c r="E5" s="17"/>
      <c r="F5" s="17"/>
      <c r="G5" s="17"/>
      <c r="H5" s="17"/>
      <c r="I5" s="17">
        <v>33534</v>
      </c>
      <c r="J5" s="17">
        <v>31303</v>
      </c>
      <c r="K5" s="17">
        <v>29547</v>
      </c>
      <c r="L5" s="17">
        <v>35505</v>
      </c>
      <c r="M5" s="17">
        <v>35624</v>
      </c>
      <c r="N5" s="17">
        <v>35580</v>
      </c>
      <c r="O5" s="17">
        <v>33087</v>
      </c>
      <c r="P5" s="17">
        <v>38221</v>
      </c>
      <c r="Q5" s="17"/>
      <c r="R5" s="17"/>
      <c r="S5" s="1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2:46" x14ac:dyDescent="0.2">
      <c r="B6" s="2" t="s">
        <v>93</v>
      </c>
      <c r="C6" s="17"/>
      <c r="D6" s="17"/>
      <c r="E6" s="17"/>
      <c r="F6" s="17"/>
      <c r="G6" s="17"/>
      <c r="H6" s="17"/>
      <c r="I6" s="17">
        <v>39272</v>
      </c>
      <c r="J6" s="17">
        <v>37490</v>
      </c>
      <c r="K6" s="17">
        <v>38062</v>
      </c>
      <c r="L6" s="17">
        <v>42579</v>
      </c>
      <c r="M6" s="17">
        <v>44169</v>
      </c>
      <c r="N6" s="17">
        <v>45513</v>
      </c>
      <c r="O6" s="17">
        <v>42248</v>
      </c>
      <c r="P6" s="17">
        <v>46250</v>
      </c>
      <c r="Q6" s="17">
        <f>+M6*1.01</f>
        <v>44610.69</v>
      </c>
      <c r="R6" s="17"/>
      <c r="S6" s="17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2:46" s="30" customFormat="1" x14ac:dyDescent="0.2">
      <c r="B7" s="30" t="s">
        <v>92</v>
      </c>
      <c r="C7" s="31"/>
      <c r="D7" s="31"/>
      <c r="E7" s="31"/>
      <c r="F7" s="31"/>
      <c r="G7" s="31"/>
      <c r="H7" s="31"/>
      <c r="I7" s="31">
        <v>0.85399999999999998</v>
      </c>
      <c r="J7" s="31">
        <v>0.83499999999999996</v>
      </c>
      <c r="K7" s="31">
        <v>0.77600000000000002</v>
      </c>
      <c r="L7" s="31">
        <v>0.83399999999999996</v>
      </c>
      <c r="M7" s="31">
        <v>0.80700000000000005</v>
      </c>
      <c r="N7" s="31">
        <v>0.78200000000000003</v>
      </c>
      <c r="O7" s="31">
        <v>0.78300000000000003</v>
      </c>
      <c r="P7" s="31">
        <v>0.82599999999999996</v>
      </c>
      <c r="Q7" s="31"/>
      <c r="R7" s="31"/>
      <c r="S7" s="31"/>
      <c r="T7" s="6"/>
    </row>
    <row r="8" spans="2:46" x14ac:dyDescent="0.2">
      <c r="B8" s="2" t="s">
        <v>91</v>
      </c>
      <c r="C8" s="17"/>
      <c r="D8" s="17"/>
      <c r="E8" s="17"/>
      <c r="F8" s="17"/>
      <c r="G8" s="17"/>
      <c r="H8" s="17"/>
      <c r="I8" s="17">
        <v>974</v>
      </c>
      <c r="J8" s="17">
        <v>952</v>
      </c>
      <c r="K8" s="17">
        <v>977</v>
      </c>
      <c r="L8" s="17">
        <v>994</v>
      </c>
      <c r="M8" s="17">
        <v>1008</v>
      </c>
      <c r="N8" s="17">
        <v>989</v>
      </c>
      <c r="O8" s="17">
        <v>1007</v>
      </c>
      <c r="P8" s="17">
        <v>1019</v>
      </c>
      <c r="Q8" s="17"/>
      <c r="R8" s="17"/>
      <c r="S8" s="17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2:46" x14ac:dyDescent="0.2">
      <c r="B9" s="2" t="s">
        <v>90</v>
      </c>
      <c r="C9" s="17"/>
      <c r="D9" s="17"/>
      <c r="E9" s="17"/>
      <c r="F9" s="17"/>
      <c r="G9" s="17"/>
      <c r="H9" s="17"/>
      <c r="I9" s="17">
        <v>711</v>
      </c>
      <c r="J9" s="17">
        <v>713</v>
      </c>
      <c r="K9" s="17">
        <v>715</v>
      </c>
      <c r="L9" s="17">
        <v>728</v>
      </c>
      <c r="M9" s="17">
        <v>735</v>
      </c>
      <c r="N9" s="17">
        <v>739</v>
      </c>
      <c r="O9" s="17">
        <v>753</v>
      </c>
      <c r="P9" s="17">
        <v>766</v>
      </c>
      <c r="Q9" s="17"/>
      <c r="R9" s="17"/>
      <c r="S9" s="17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2:46" x14ac:dyDescent="0.2">
      <c r="B10" s="2" t="s">
        <v>89</v>
      </c>
      <c r="C10" s="17"/>
      <c r="D10" s="17"/>
      <c r="E10" s="17"/>
      <c r="F10" s="17"/>
      <c r="G10" s="17"/>
      <c r="H10" s="17"/>
      <c r="I10" s="17">
        <v>351218</v>
      </c>
      <c r="J10" s="17">
        <v>332402</v>
      </c>
      <c r="K10" s="17">
        <v>334121</v>
      </c>
      <c r="L10" s="17">
        <v>365089</v>
      </c>
      <c r="M10" s="17">
        <v>374926</v>
      </c>
      <c r="N10" s="17">
        <v>385291</v>
      </c>
      <c r="O10" s="17">
        <v>349979</v>
      </c>
      <c r="P10" s="17">
        <v>375749</v>
      </c>
      <c r="Q10" s="17"/>
      <c r="R10" s="17"/>
      <c r="S10" s="1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2:46" x14ac:dyDescent="0.2">
      <c r="B11" s="2" t="s">
        <v>88</v>
      </c>
      <c r="C11" s="17"/>
      <c r="D11" s="17"/>
      <c r="E11" s="17"/>
      <c r="F11" s="17"/>
      <c r="G11" s="17"/>
      <c r="H11" s="17"/>
      <c r="I11" s="17">
        <v>54609</v>
      </c>
      <c r="J11" s="17">
        <v>52000</v>
      </c>
      <c r="K11" s="17">
        <v>52719</v>
      </c>
      <c r="L11" s="17">
        <v>57904</v>
      </c>
      <c r="M11" s="17">
        <v>59494</v>
      </c>
      <c r="N11" s="17">
        <v>61293</v>
      </c>
      <c r="O11" s="17">
        <v>55694</v>
      </c>
      <c r="P11" s="17">
        <v>59775</v>
      </c>
      <c r="Q11" s="17"/>
      <c r="R11" s="17"/>
      <c r="S11" s="17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2:46" s="28" customFormat="1" x14ac:dyDescent="0.2">
      <c r="B12" s="28" t="s">
        <v>87</v>
      </c>
      <c r="C12" s="29"/>
      <c r="D12" s="29"/>
      <c r="E12" s="29"/>
      <c r="F12" s="29"/>
      <c r="G12" s="29"/>
      <c r="H12" s="29"/>
      <c r="I12" s="29">
        <v>155.5</v>
      </c>
      <c r="J12" s="29">
        <v>156.4</v>
      </c>
      <c r="K12" s="29">
        <v>157.80000000000001</v>
      </c>
      <c r="L12" s="29">
        <v>158.6</v>
      </c>
      <c r="M12" s="29">
        <v>158.69999999999999</v>
      </c>
      <c r="N12" s="29">
        <v>159.1</v>
      </c>
      <c r="O12" s="29">
        <v>159.1</v>
      </c>
      <c r="P12" s="29">
        <v>159.1</v>
      </c>
      <c r="Q12" s="29"/>
      <c r="R12" s="29"/>
      <c r="S12" s="29"/>
      <c r="T12" s="6"/>
    </row>
    <row r="13" spans="2:46" s="26" customFormat="1" x14ac:dyDescent="0.2">
      <c r="B13" s="26" t="s">
        <v>86</v>
      </c>
      <c r="C13" s="27"/>
      <c r="D13" s="27"/>
      <c r="E13" s="27"/>
      <c r="F13" s="27"/>
      <c r="G13" s="27"/>
      <c r="H13" s="27"/>
      <c r="I13" s="27">
        <f t="shared" ref="I13:P13" si="1">+I24/I3*1000</f>
        <v>163.00749259452866</v>
      </c>
      <c r="J13" s="27">
        <f t="shared" si="1"/>
        <v>168.42457217544606</v>
      </c>
      <c r="K13" s="27">
        <f t="shared" si="1"/>
        <v>168.8663954219179</v>
      </c>
      <c r="L13" s="27">
        <f t="shared" si="1"/>
        <v>179.44841103177936</v>
      </c>
      <c r="M13" s="27">
        <f t="shared" si="1"/>
        <v>233.22419030336502</v>
      </c>
      <c r="N13" s="27">
        <f t="shared" si="1"/>
        <v>172.60928771920072</v>
      </c>
      <c r="O13" s="27">
        <f t="shared" si="1"/>
        <v>173.76490630323678</v>
      </c>
      <c r="P13" s="27">
        <f t="shared" si="1"/>
        <v>178.94372017382494</v>
      </c>
      <c r="Q13" s="27"/>
      <c r="R13" s="27"/>
      <c r="S13" s="27"/>
      <c r="T13" s="22"/>
    </row>
    <row r="14" spans="2:46" s="24" customFormat="1" x14ac:dyDescent="0.2">
      <c r="B14" s="24" t="s">
        <v>85</v>
      </c>
      <c r="C14" s="25"/>
      <c r="D14" s="25"/>
      <c r="E14" s="25"/>
      <c r="F14" s="25"/>
      <c r="G14" s="25"/>
      <c r="H14" s="25"/>
      <c r="I14" s="25">
        <f t="shared" ref="I14:P14" si="2">+I24/I5</f>
        <v>0.16738235820361425</v>
      </c>
      <c r="J14" s="25">
        <f t="shared" si="2"/>
        <v>0.17701178800753922</v>
      </c>
      <c r="K14" s="25">
        <f t="shared" si="2"/>
        <v>0.17277557789284867</v>
      </c>
      <c r="L14" s="25">
        <f t="shared" si="2"/>
        <v>0.18050978735389381</v>
      </c>
      <c r="M14" s="25">
        <f t="shared" si="2"/>
        <v>0.16595553559398157</v>
      </c>
      <c r="N14" s="25">
        <f t="shared" si="2"/>
        <v>0.17456436200112424</v>
      </c>
      <c r="O14" s="25">
        <f t="shared" si="2"/>
        <v>0.17263577840239369</v>
      </c>
      <c r="P14" s="25">
        <f t="shared" si="2"/>
        <v>0.17561026660736245</v>
      </c>
      <c r="Q14" s="25"/>
      <c r="R14" s="25"/>
      <c r="S14" s="25"/>
      <c r="T14" s="22"/>
    </row>
    <row r="15" spans="2:46" s="24" customFormat="1" x14ac:dyDescent="0.2">
      <c r="B15" s="24" t="s">
        <v>84</v>
      </c>
      <c r="C15" s="25"/>
      <c r="D15" s="25"/>
      <c r="E15" s="25"/>
      <c r="F15" s="25"/>
      <c r="G15" s="25"/>
      <c r="H15" s="25"/>
      <c r="I15" s="25">
        <f t="shared" ref="I15:P15" si="3">+I27/I6</f>
        <v>0.15838256264004888</v>
      </c>
      <c r="J15" s="25">
        <f t="shared" si="3"/>
        <v>0.16463056815150706</v>
      </c>
      <c r="K15" s="25">
        <f t="shared" si="3"/>
        <v>0.14991329935368608</v>
      </c>
      <c r="L15" s="25">
        <f t="shared" si="3"/>
        <v>0.165269264191268</v>
      </c>
      <c r="M15" s="25">
        <f t="shared" si="3"/>
        <v>0.14772804455613667</v>
      </c>
      <c r="N15" s="25">
        <f t="shared" si="3"/>
        <v>0.1499132116098697</v>
      </c>
      <c r="O15" s="25">
        <f t="shared" si="3"/>
        <v>0.14980590797197502</v>
      </c>
      <c r="P15" s="25">
        <f t="shared" si="3"/>
        <v>0.15900540540540539</v>
      </c>
      <c r="Q15" s="25">
        <f>+M15*0.99</f>
        <v>0.1462507641105753</v>
      </c>
      <c r="R15" s="25"/>
      <c r="S15" s="25"/>
      <c r="T15" s="22"/>
    </row>
    <row r="16" spans="2:46" s="24" customFormat="1" x14ac:dyDescent="0.2">
      <c r="B16" s="24" t="s">
        <v>83</v>
      </c>
      <c r="C16" s="25"/>
      <c r="D16" s="25"/>
      <c r="E16" s="25"/>
      <c r="F16" s="25"/>
      <c r="G16" s="25"/>
      <c r="H16" s="25"/>
      <c r="I16" s="25">
        <f t="shared" ref="I16:P16" si="4">+I24/I6</f>
        <v>0.1429262578936647</v>
      </c>
      <c r="J16" s="25">
        <f t="shared" si="4"/>
        <v>0.14779941317684717</v>
      </c>
      <c r="K16" s="25">
        <f t="shared" si="4"/>
        <v>0.13412327255530451</v>
      </c>
      <c r="L16" s="25">
        <f t="shared" si="4"/>
        <v>0.15052020949294254</v>
      </c>
      <c r="M16" s="25">
        <f t="shared" si="4"/>
        <v>0.13384953247752948</v>
      </c>
      <c r="N16" s="25">
        <f t="shared" si="4"/>
        <v>0.13646650407575858</v>
      </c>
      <c r="O16" s="25">
        <f t="shared" si="4"/>
        <v>0.13520166635106987</v>
      </c>
      <c r="P16" s="25">
        <f t="shared" si="4"/>
        <v>0.14512432432432432</v>
      </c>
      <c r="Q16" s="25"/>
      <c r="R16" s="25"/>
      <c r="S16" s="25"/>
      <c r="T16" s="22"/>
    </row>
    <row r="17" spans="2:46" s="24" customFormat="1" x14ac:dyDescent="0.2">
      <c r="B17" s="24" t="s">
        <v>82</v>
      </c>
      <c r="C17" s="25"/>
      <c r="D17" s="25"/>
      <c r="E17" s="25"/>
      <c r="F17" s="25"/>
      <c r="G17" s="25"/>
      <c r="H17" s="25"/>
      <c r="I17" s="25">
        <f t="shared" ref="I17:P17" si="5">+I34/I6</f>
        <v>0.14832450600937055</v>
      </c>
      <c r="J17" s="25">
        <f t="shared" si="5"/>
        <v>0.17489997332622031</v>
      </c>
      <c r="K17" s="25">
        <f t="shared" si="5"/>
        <v>0.15737480952130734</v>
      </c>
      <c r="L17" s="25">
        <f t="shared" si="5"/>
        <v>0.14659808825947063</v>
      </c>
      <c r="M17" s="25">
        <f t="shared" si="5"/>
        <v>0.14507912789513006</v>
      </c>
      <c r="N17" s="25">
        <f t="shared" si="5"/>
        <v>0.15878979632192999</v>
      </c>
      <c r="O17" s="25">
        <f t="shared" si="5"/>
        <v>0.15910812346146563</v>
      </c>
      <c r="P17" s="25">
        <f t="shared" si="5"/>
        <v>0.15040000000000001</v>
      </c>
      <c r="Q17" s="25"/>
      <c r="R17" s="25"/>
      <c r="S17" s="25"/>
      <c r="T17" s="22"/>
    </row>
    <row r="18" spans="2:46" s="24" customFormat="1" x14ac:dyDescent="0.2">
      <c r="B18" s="24" t="s">
        <v>81</v>
      </c>
      <c r="C18" s="25"/>
      <c r="D18" s="25"/>
      <c r="E18" s="25"/>
      <c r="F18" s="25"/>
      <c r="G18" s="25"/>
      <c r="H18" s="25"/>
      <c r="I18" s="25">
        <f t="shared" ref="I18:P18" si="6">+(I34-I29)/I6</f>
        <v>0.10376349562028926</v>
      </c>
      <c r="J18" s="25">
        <f t="shared" si="6"/>
        <v>0.13262203254201121</v>
      </c>
      <c r="K18" s="25">
        <f t="shared" si="6"/>
        <v>0.11673059744627187</v>
      </c>
      <c r="L18" s="25">
        <f t="shared" si="6"/>
        <v>0.11364757274712886</v>
      </c>
      <c r="M18" s="25">
        <f t="shared" si="6"/>
        <v>0.10966967782834114</v>
      </c>
      <c r="N18" s="25">
        <f t="shared" si="6"/>
        <v>0.12137191571638872</v>
      </c>
      <c r="O18" s="25">
        <f t="shared" si="6"/>
        <v>0.1228697216436281</v>
      </c>
      <c r="P18" s="25">
        <f t="shared" si="6"/>
        <v>0.11582702702702703</v>
      </c>
      <c r="Q18" s="25"/>
      <c r="R18" s="25"/>
      <c r="S18" s="25"/>
      <c r="T18" s="22"/>
    </row>
    <row r="19" spans="2:46" s="20" customFormat="1" x14ac:dyDescent="0.2">
      <c r="B19" s="20" t="s">
        <v>80</v>
      </c>
      <c r="C19" s="23"/>
      <c r="D19" s="23"/>
      <c r="E19" s="23"/>
      <c r="F19" s="23"/>
      <c r="G19" s="23"/>
      <c r="H19" s="23"/>
      <c r="I19" s="23">
        <f t="shared" ref="I19:P19" si="7">+I6/I21</f>
        <v>76.256310679611644</v>
      </c>
      <c r="J19" s="23">
        <f t="shared" si="7"/>
        <v>77.45867768595042</v>
      </c>
      <c r="K19" s="23">
        <f t="shared" si="7"/>
        <v>72.637404580152676</v>
      </c>
      <c r="L19" s="23">
        <f t="shared" si="7"/>
        <v>79.143122676579921</v>
      </c>
      <c r="M19" s="23">
        <f t="shared" si="7"/>
        <v>79.298025134649905</v>
      </c>
      <c r="N19" s="23">
        <f t="shared" si="7"/>
        <v>80.553982300884954</v>
      </c>
      <c r="O19" s="23">
        <f t="shared" si="7"/>
        <v>80.625954198473281</v>
      </c>
      <c r="P19" s="23">
        <f t="shared" si="7"/>
        <v>80.155979202772969</v>
      </c>
      <c r="Q19" s="23">
        <v>81</v>
      </c>
      <c r="R19" s="23"/>
      <c r="S19" s="23"/>
      <c r="T19" s="22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2:46" s="18" customFormat="1" x14ac:dyDescent="0.2">
      <c r="B20" s="18" t="s">
        <v>79</v>
      </c>
      <c r="C20" s="19"/>
      <c r="D20" s="19"/>
      <c r="E20" s="19"/>
      <c r="F20" s="19"/>
      <c r="G20" s="19"/>
      <c r="H20" s="19"/>
      <c r="I20" s="19">
        <v>3.74</v>
      </c>
      <c r="J20" s="19">
        <v>3.5</v>
      </c>
      <c r="K20" s="19">
        <v>2.88</v>
      </c>
      <c r="L20" s="19">
        <v>2.63</v>
      </c>
      <c r="M20" s="19">
        <v>2.89</v>
      </c>
      <c r="N20" s="19">
        <v>3.07</v>
      </c>
      <c r="O20" s="19">
        <v>2.88</v>
      </c>
      <c r="P20" s="19">
        <v>2.73</v>
      </c>
      <c r="Q20" s="19">
        <v>2.65</v>
      </c>
      <c r="R20" s="19"/>
      <c r="S20" s="19"/>
      <c r="T20" s="6"/>
    </row>
    <row r="21" spans="2:46" x14ac:dyDescent="0.2">
      <c r="B21" s="2" t="s">
        <v>78</v>
      </c>
      <c r="C21" s="17"/>
      <c r="D21" s="17"/>
      <c r="E21" s="17"/>
      <c r="F21" s="17"/>
      <c r="G21" s="17"/>
      <c r="H21" s="17"/>
      <c r="I21" s="17">
        <v>515</v>
      </c>
      <c r="J21" s="17">
        <v>484</v>
      </c>
      <c r="K21" s="17">
        <v>524</v>
      </c>
      <c r="L21" s="17">
        <v>538</v>
      </c>
      <c r="M21" s="17">
        <v>557</v>
      </c>
      <c r="N21" s="17">
        <v>565</v>
      </c>
      <c r="O21" s="17">
        <v>524</v>
      </c>
      <c r="P21" s="17">
        <v>577</v>
      </c>
      <c r="Q21" s="17">
        <f>+Q6/Q19</f>
        <v>550.74925925925925</v>
      </c>
      <c r="R21" s="17"/>
      <c r="S21" s="17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3" spans="2:46" x14ac:dyDescent="0.2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2:46" x14ac:dyDescent="0.2">
      <c r="B24" s="2" t="s">
        <v>77</v>
      </c>
      <c r="C24" s="2">
        <v>1712</v>
      </c>
      <c r="D24" s="2">
        <v>3569</v>
      </c>
      <c r="E24" s="2">
        <v>4227</v>
      </c>
      <c r="F24" s="2">
        <f>+AB24-SUM(C24:E24)</f>
        <v>4558</v>
      </c>
      <c r="G24" s="2">
        <v>4135</v>
      </c>
      <c r="H24" s="2">
        <v>6119</v>
      </c>
      <c r="I24" s="2">
        <v>5613</v>
      </c>
      <c r="J24" s="2">
        <f>+AC24-SUM(G24:I24)</f>
        <v>5541</v>
      </c>
      <c r="K24" s="2">
        <v>5105</v>
      </c>
      <c r="L24" s="2">
        <v>6409</v>
      </c>
      <c r="M24" s="2">
        <v>5912</v>
      </c>
      <c r="N24" s="2">
        <f>+AD24-SUM(K24:M24)</f>
        <v>6211</v>
      </c>
      <c r="O24" s="2">
        <v>5712</v>
      </c>
      <c r="P24" s="2">
        <v>6712</v>
      </c>
      <c r="Q24" s="9"/>
      <c r="U24" s="2">
        <v>17658</v>
      </c>
      <c r="V24" s="2">
        <v>18299</v>
      </c>
      <c r="W24" s="2">
        <v>18594</v>
      </c>
      <c r="X24" s="2">
        <v>19141</v>
      </c>
      <c r="Y24" s="2">
        <v>20455</v>
      </c>
      <c r="Z24" s="2">
        <v>20776</v>
      </c>
      <c r="AA24" s="2">
        <v>7665</v>
      </c>
      <c r="AB24" s="2">
        <v>14066</v>
      </c>
      <c r="AC24" s="2">
        <v>21408</v>
      </c>
      <c r="AD24" s="2">
        <v>23637</v>
      </c>
    </row>
    <row r="25" spans="2:46" ht="13.5" thickBot="1" x14ac:dyDescent="0.25">
      <c r="B25" s="2" t="s">
        <v>76</v>
      </c>
      <c r="C25" s="2">
        <v>43</v>
      </c>
      <c r="D25" s="2">
        <v>50</v>
      </c>
      <c r="E25" s="2">
        <v>47</v>
      </c>
      <c r="F25" s="2">
        <f>+AB25-SUM(C25:E25)</f>
        <v>47</v>
      </c>
      <c r="G25" s="2">
        <v>42</v>
      </c>
      <c r="H25" s="2">
        <v>47</v>
      </c>
      <c r="I25" s="2">
        <v>44</v>
      </c>
      <c r="J25" s="2">
        <f>+AC25-SUM(G25:I25)</f>
        <v>44</v>
      </c>
      <c r="K25" s="2">
        <v>41</v>
      </c>
      <c r="L25" s="2">
        <v>47</v>
      </c>
      <c r="M25" s="2">
        <v>44</v>
      </c>
      <c r="N25" s="2">
        <f>+AD25-SUM(K25:M25)</f>
        <v>43</v>
      </c>
      <c r="O25" s="2">
        <v>42</v>
      </c>
      <c r="P25" s="2">
        <v>45</v>
      </c>
      <c r="U25" s="2">
        <v>175</v>
      </c>
      <c r="V25" s="2">
        <v>179</v>
      </c>
      <c r="W25" s="2">
        <v>171</v>
      </c>
      <c r="X25" s="2">
        <v>173</v>
      </c>
      <c r="Y25" s="2">
        <v>175</v>
      </c>
      <c r="Z25" s="2">
        <v>172</v>
      </c>
      <c r="AA25" s="2">
        <v>161</v>
      </c>
      <c r="AB25" s="2">
        <v>187</v>
      </c>
      <c r="AC25" s="2">
        <v>177</v>
      </c>
      <c r="AD25" s="2">
        <v>175</v>
      </c>
    </row>
    <row r="26" spans="2:46" x14ac:dyDescent="0.2">
      <c r="B26" s="2" t="s">
        <v>33</v>
      </c>
      <c r="C26" s="2">
        <v>297</v>
      </c>
      <c r="D26" s="2">
        <v>389</v>
      </c>
      <c r="E26" s="2">
        <v>405</v>
      </c>
      <c r="F26" s="2">
        <f>+AB26-SUM(C26:E26)</f>
        <v>446</v>
      </c>
      <c r="G26" s="2">
        <v>517</v>
      </c>
      <c r="H26" s="2">
        <v>562</v>
      </c>
      <c r="I26" s="2">
        <v>563</v>
      </c>
      <c r="J26" s="2">
        <f>+AC26-SUM(G26:I26)</f>
        <v>587</v>
      </c>
      <c r="K26" s="2">
        <v>560</v>
      </c>
      <c r="L26" s="2">
        <v>581</v>
      </c>
      <c r="M26" s="2">
        <v>569</v>
      </c>
      <c r="N26" s="2">
        <f>+AD26-SUM(K26:M26)</f>
        <v>569</v>
      </c>
      <c r="O26" s="2">
        <v>575</v>
      </c>
      <c r="P26" s="2">
        <v>597</v>
      </c>
      <c r="S26" s="16" t="s">
        <v>75</v>
      </c>
      <c r="T26" s="12"/>
      <c r="U26" s="2">
        <v>772</v>
      </c>
      <c r="V26" s="2">
        <f>172+1170</f>
        <v>1342</v>
      </c>
      <c r="W26" s="2">
        <v>1660</v>
      </c>
      <c r="X26" s="2">
        <v>1857</v>
      </c>
      <c r="Y26" s="2">
        <v>1335</v>
      </c>
      <c r="Z26" s="2">
        <v>1480</v>
      </c>
      <c r="AA26" s="2">
        <v>1222</v>
      </c>
      <c r="AB26" s="2">
        <v>1537</v>
      </c>
      <c r="AC26" s="2">
        <v>2229</v>
      </c>
      <c r="AD26" s="2">
        <v>2279</v>
      </c>
    </row>
    <row r="27" spans="2:46" s="7" customFormat="1" x14ac:dyDescent="0.2">
      <c r="B27" s="7" t="s">
        <v>74</v>
      </c>
      <c r="C27" s="7">
        <f t="shared" ref="C27:P27" si="8">+SUM(C24:C26)</f>
        <v>2052</v>
      </c>
      <c r="D27" s="7">
        <f t="shared" si="8"/>
        <v>4008</v>
      </c>
      <c r="E27" s="7">
        <f t="shared" si="8"/>
        <v>4679</v>
      </c>
      <c r="F27" s="7">
        <f t="shared" si="8"/>
        <v>5051</v>
      </c>
      <c r="G27" s="7">
        <f t="shared" si="8"/>
        <v>4694</v>
      </c>
      <c r="H27" s="7">
        <f t="shared" si="8"/>
        <v>6728</v>
      </c>
      <c r="I27" s="7">
        <f t="shared" si="8"/>
        <v>6220</v>
      </c>
      <c r="J27" s="7">
        <f t="shared" si="8"/>
        <v>6172</v>
      </c>
      <c r="K27" s="7">
        <f t="shared" si="8"/>
        <v>5706</v>
      </c>
      <c r="L27" s="7">
        <f t="shared" si="8"/>
        <v>7037</v>
      </c>
      <c r="M27" s="7">
        <f t="shared" si="8"/>
        <v>6525</v>
      </c>
      <c r="N27" s="7">
        <f t="shared" si="8"/>
        <v>6823</v>
      </c>
      <c r="O27" s="7">
        <f t="shared" si="8"/>
        <v>6329</v>
      </c>
      <c r="P27" s="7">
        <f t="shared" si="8"/>
        <v>7354</v>
      </c>
      <c r="Q27" s="7">
        <f>+M27*1.05</f>
        <v>6851.25</v>
      </c>
      <c r="R27" s="7">
        <f>+N27*1.05</f>
        <v>7164.1500000000005</v>
      </c>
      <c r="S27" s="14">
        <f>(AD27/U27)^(1/10)-1</f>
        <v>3.4394267445773119E-2</v>
      </c>
      <c r="T27" s="15">
        <v>0.05</v>
      </c>
      <c r="U27" s="7">
        <f t="shared" ref="U27:AD27" si="9">+SUM(U24:U26)</f>
        <v>18605</v>
      </c>
      <c r="V27" s="7">
        <f t="shared" si="9"/>
        <v>19820</v>
      </c>
      <c r="W27" s="7">
        <f t="shared" si="9"/>
        <v>20425</v>
      </c>
      <c r="X27" s="7">
        <f t="shared" si="9"/>
        <v>21171</v>
      </c>
      <c r="Y27" s="7">
        <f t="shared" si="9"/>
        <v>21965</v>
      </c>
      <c r="Z27" s="7">
        <f t="shared" si="9"/>
        <v>22428</v>
      </c>
      <c r="AA27" s="7">
        <f t="shared" si="9"/>
        <v>9048</v>
      </c>
      <c r="AB27" s="7">
        <f t="shared" si="9"/>
        <v>15790</v>
      </c>
      <c r="AC27" s="7">
        <f t="shared" si="9"/>
        <v>23814</v>
      </c>
      <c r="AD27" s="7">
        <f t="shared" si="9"/>
        <v>26091</v>
      </c>
      <c r="AE27" s="7">
        <f>+SUM(O27:R27)</f>
        <v>27698.400000000001</v>
      </c>
      <c r="AF27" s="7">
        <f t="shared" ref="AF27:AO27" si="10">+AE27*1.05</f>
        <v>29083.320000000003</v>
      </c>
      <c r="AG27" s="7">
        <f t="shared" si="10"/>
        <v>30537.486000000004</v>
      </c>
      <c r="AH27" s="7">
        <f t="shared" si="10"/>
        <v>32064.360300000008</v>
      </c>
      <c r="AI27" s="7">
        <f t="shared" si="10"/>
        <v>33667.578315000006</v>
      </c>
      <c r="AJ27" s="7">
        <f t="shared" si="10"/>
        <v>35350.957230750006</v>
      </c>
      <c r="AK27" s="7">
        <f t="shared" si="10"/>
        <v>37118.505092287509</v>
      </c>
      <c r="AL27" s="7">
        <f t="shared" si="10"/>
        <v>38974.430346901885</v>
      </c>
      <c r="AM27" s="7">
        <f t="shared" si="10"/>
        <v>40923.151864246982</v>
      </c>
      <c r="AN27" s="7">
        <f t="shared" si="10"/>
        <v>42969.309457459334</v>
      </c>
      <c r="AO27" s="7">
        <f t="shared" si="10"/>
        <v>45117.7749303323</v>
      </c>
    </row>
    <row r="28" spans="2:46" x14ac:dyDescent="0.2">
      <c r="B28" s="2" t="s">
        <v>73</v>
      </c>
      <c r="C28" s="2">
        <v>1571</v>
      </c>
      <c r="D28" s="2">
        <v>1825</v>
      </c>
      <c r="E28" s="2">
        <v>2122</v>
      </c>
      <c r="F28" s="2">
        <f t="shared" ref="F28:F33" si="11">+AB28-SUM(C28:E28)</f>
        <v>2225</v>
      </c>
      <c r="G28" s="2">
        <v>2229</v>
      </c>
      <c r="H28" s="2">
        <v>2220</v>
      </c>
      <c r="I28" s="2">
        <v>2322</v>
      </c>
      <c r="J28" s="2">
        <f t="shared" ref="J28:J33" si="12">+AC28-SUM(G28:I28)</f>
        <v>2605</v>
      </c>
      <c r="K28" s="2">
        <v>2478</v>
      </c>
      <c r="L28" s="2">
        <v>2786</v>
      </c>
      <c r="M28" s="2">
        <v>2728</v>
      </c>
      <c r="N28" s="2">
        <f t="shared" ref="N28:N33" si="13">+AD28-SUM(K28:M28)</f>
        <v>3160</v>
      </c>
      <c r="O28" s="2">
        <v>2940</v>
      </c>
      <c r="P28" s="2">
        <v>2999</v>
      </c>
      <c r="Q28" s="2">
        <f>+Q27*0.42</f>
        <v>2877.5250000000001</v>
      </c>
      <c r="R28" s="2">
        <f>+R27*0.42</f>
        <v>3008.9430000000002</v>
      </c>
      <c r="S28" s="14">
        <f t="shared" ref="S28:S33" si="14">(AD28/U28)^(1/10)-1</f>
        <v>5.6542983991751061E-2</v>
      </c>
      <c r="T28" s="12">
        <f t="shared" ref="T28:T33" si="15">(AD28/U28)^(1/10)-1</f>
        <v>5.6542983991751061E-2</v>
      </c>
      <c r="U28" s="2">
        <v>6434</v>
      </c>
      <c r="V28" s="2">
        <v>6383</v>
      </c>
      <c r="W28" s="2">
        <v>6798</v>
      </c>
      <c r="X28" s="2">
        <v>7319</v>
      </c>
      <c r="Y28" s="2">
        <v>7649</v>
      </c>
      <c r="Z28" s="2">
        <v>8293</v>
      </c>
      <c r="AA28" s="2">
        <v>6811</v>
      </c>
      <c r="AB28" s="2">
        <v>7743</v>
      </c>
      <c r="AC28" s="2">
        <v>9376</v>
      </c>
      <c r="AD28" s="2">
        <v>11152</v>
      </c>
      <c r="AE28" s="2">
        <f t="shared" ref="AE28:AO28" si="16">+AD28*1.06</f>
        <v>11821.12</v>
      </c>
      <c r="AF28" s="2">
        <f t="shared" si="16"/>
        <v>12530.387200000001</v>
      </c>
      <c r="AG28" s="2">
        <f t="shared" si="16"/>
        <v>13282.210432000002</v>
      </c>
      <c r="AH28" s="2">
        <f t="shared" si="16"/>
        <v>14079.143057920002</v>
      </c>
      <c r="AI28" s="2">
        <f t="shared" si="16"/>
        <v>14923.891641395203</v>
      </c>
      <c r="AJ28" s="2">
        <f t="shared" si="16"/>
        <v>15819.325139878916</v>
      </c>
      <c r="AK28" s="2">
        <f t="shared" si="16"/>
        <v>16768.484648271653</v>
      </c>
      <c r="AL28" s="2">
        <f t="shared" si="16"/>
        <v>17774.593727167954</v>
      </c>
      <c r="AM28" s="2">
        <f t="shared" si="16"/>
        <v>18841.069350798032</v>
      </c>
      <c r="AN28" s="2">
        <f t="shared" si="16"/>
        <v>19971.533511845915</v>
      </c>
      <c r="AO28" s="2">
        <f t="shared" si="16"/>
        <v>21169.825522556672</v>
      </c>
    </row>
    <row r="29" spans="2:46" x14ac:dyDescent="0.2">
      <c r="B29" s="2" t="s">
        <v>72</v>
      </c>
      <c r="C29" s="2">
        <v>469</v>
      </c>
      <c r="D29" s="2">
        <v>803</v>
      </c>
      <c r="E29" s="2">
        <v>990</v>
      </c>
      <c r="F29" s="2">
        <f t="shared" si="11"/>
        <v>1048</v>
      </c>
      <c r="G29" s="2">
        <v>1004</v>
      </c>
      <c r="H29" s="2">
        <v>1636</v>
      </c>
      <c r="I29" s="2">
        <v>1750</v>
      </c>
      <c r="J29" s="2">
        <f t="shared" si="12"/>
        <v>1585</v>
      </c>
      <c r="K29" s="2">
        <v>1547</v>
      </c>
      <c r="L29" s="2">
        <v>1403</v>
      </c>
      <c r="M29" s="2">
        <v>1564</v>
      </c>
      <c r="N29" s="2">
        <f t="shared" si="13"/>
        <v>1703</v>
      </c>
      <c r="O29" s="2">
        <v>1531</v>
      </c>
      <c r="P29" s="2">
        <v>1599</v>
      </c>
      <c r="Q29" s="2">
        <f>+Q27*0.22</f>
        <v>1507.2750000000001</v>
      </c>
      <c r="R29" s="2">
        <f>+R27*0.22</f>
        <v>1576.1130000000001</v>
      </c>
      <c r="S29" s="14">
        <f t="shared" si="14"/>
        <v>1.6220373046490932E-2</v>
      </c>
      <c r="T29" s="12">
        <f t="shared" si="15"/>
        <v>1.6220373046490932E-2</v>
      </c>
      <c r="U29" s="2">
        <v>5293</v>
      </c>
      <c r="V29" s="2">
        <v>3616</v>
      </c>
      <c r="W29" s="2">
        <v>3647</v>
      </c>
      <c r="X29" s="2">
        <v>3940</v>
      </c>
      <c r="Y29" s="2">
        <v>4616</v>
      </c>
      <c r="Z29" s="2">
        <v>4347</v>
      </c>
      <c r="AA29" s="2">
        <v>1849</v>
      </c>
      <c r="AB29" s="2">
        <v>3310</v>
      </c>
      <c r="AC29" s="2">
        <v>5975</v>
      </c>
      <c r="AD29" s="2">
        <v>6217</v>
      </c>
      <c r="AE29" s="2">
        <f t="shared" ref="AE29:AO29" si="17">+AD29*1.02</f>
        <v>6341.34</v>
      </c>
      <c r="AF29" s="2">
        <f t="shared" si="17"/>
        <v>6468.1668</v>
      </c>
      <c r="AG29" s="2">
        <f t="shared" si="17"/>
        <v>6597.5301360000003</v>
      </c>
      <c r="AH29" s="2">
        <f t="shared" si="17"/>
        <v>6729.4807387200008</v>
      </c>
      <c r="AI29" s="2">
        <f t="shared" si="17"/>
        <v>6864.0703534944005</v>
      </c>
      <c r="AJ29" s="2">
        <f t="shared" si="17"/>
        <v>7001.3517605642883</v>
      </c>
      <c r="AK29" s="2">
        <f t="shared" si="17"/>
        <v>7141.378795775574</v>
      </c>
      <c r="AL29" s="2">
        <f t="shared" si="17"/>
        <v>7284.2063716910852</v>
      </c>
      <c r="AM29" s="2">
        <f t="shared" si="17"/>
        <v>7429.8904991249074</v>
      </c>
      <c r="AN29" s="2">
        <f t="shared" si="17"/>
        <v>7578.4883091074053</v>
      </c>
      <c r="AO29" s="2">
        <f t="shared" si="17"/>
        <v>7730.0580752895539</v>
      </c>
    </row>
    <row r="30" spans="2:46" x14ac:dyDescent="0.2">
      <c r="B30" s="2" t="s">
        <v>71</v>
      </c>
      <c r="C30" s="2">
        <v>173</v>
      </c>
      <c r="D30" s="2">
        <v>222</v>
      </c>
      <c r="E30" s="2">
        <v>250</v>
      </c>
      <c r="F30" s="2">
        <f t="shared" si="11"/>
        <v>209</v>
      </c>
      <c r="G30" s="2">
        <v>211</v>
      </c>
      <c r="H30" s="2">
        <v>210</v>
      </c>
      <c r="I30" s="2">
        <v>204</v>
      </c>
      <c r="J30" s="2">
        <f t="shared" si="12"/>
        <v>227</v>
      </c>
      <c r="K30" s="2">
        <v>240</v>
      </c>
      <c r="L30" s="2">
        <v>271</v>
      </c>
      <c r="M30" s="2">
        <v>326</v>
      </c>
      <c r="N30" s="2">
        <f t="shared" si="13"/>
        <v>351</v>
      </c>
      <c r="O30" s="2">
        <v>361</v>
      </c>
      <c r="P30" s="2">
        <v>350</v>
      </c>
      <c r="S30" s="14">
        <f t="shared" si="14"/>
        <v>1.9642099611674846E-2</v>
      </c>
      <c r="T30" s="12">
        <f t="shared" si="15"/>
        <v>1.9642099611674846E-2</v>
      </c>
      <c r="U30" s="2">
        <v>978</v>
      </c>
      <c r="V30" s="2">
        <v>1005</v>
      </c>
      <c r="W30" s="2">
        <v>1045</v>
      </c>
      <c r="X30" s="2">
        <v>1001</v>
      </c>
      <c r="Y30" s="2">
        <v>1107</v>
      </c>
      <c r="Z30" s="2">
        <v>1223</v>
      </c>
      <c r="AA30" s="2">
        <v>750</v>
      </c>
      <c r="AB30" s="2">
        <v>854</v>
      </c>
      <c r="AC30" s="2">
        <v>852</v>
      </c>
      <c r="AD30" s="2">
        <v>1188</v>
      </c>
      <c r="AE30" s="2">
        <f t="shared" ref="AE30:AO30" si="18">+AD30*1.02</f>
        <v>1211.76</v>
      </c>
      <c r="AF30" s="2">
        <f t="shared" si="18"/>
        <v>1235.9952000000001</v>
      </c>
      <c r="AG30" s="2">
        <f t="shared" si="18"/>
        <v>1260.7151040000001</v>
      </c>
      <c r="AH30" s="2">
        <f t="shared" si="18"/>
        <v>1285.92940608</v>
      </c>
      <c r="AI30" s="2">
        <f t="shared" si="18"/>
        <v>1311.6479942016001</v>
      </c>
      <c r="AJ30" s="2">
        <f t="shared" si="18"/>
        <v>1337.8809540856321</v>
      </c>
      <c r="AK30" s="2">
        <f t="shared" si="18"/>
        <v>1364.6385731673447</v>
      </c>
      <c r="AL30" s="2">
        <f t="shared" si="18"/>
        <v>1391.9313446306917</v>
      </c>
      <c r="AM30" s="2">
        <f t="shared" si="18"/>
        <v>1419.7699715233055</v>
      </c>
      <c r="AN30" s="2">
        <f t="shared" si="18"/>
        <v>1448.1653709537716</v>
      </c>
      <c r="AO30" s="2">
        <f t="shared" si="18"/>
        <v>1477.1286783728469</v>
      </c>
    </row>
    <row r="31" spans="2:46" x14ac:dyDescent="0.2">
      <c r="B31" s="2" t="s">
        <v>70</v>
      </c>
      <c r="C31" s="2">
        <v>313</v>
      </c>
      <c r="D31" s="2">
        <v>403</v>
      </c>
      <c r="E31" s="2">
        <v>376</v>
      </c>
      <c r="F31" s="2">
        <f t="shared" si="11"/>
        <v>364</v>
      </c>
      <c r="G31" s="2">
        <v>346</v>
      </c>
      <c r="H31" s="2">
        <v>388</v>
      </c>
      <c r="I31" s="2">
        <v>395</v>
      </c>
      <c r="J31" s="2">
        <f t="shared" si="12"/>
        <v>379</v>
      </c>
      <c r="K31" s="2">
        <v>408</v>
      </c>
      <c r="L31" s="2">
        <v>459</v>
      </c>
      <c r="M31" s="2">
        <v>457</v>
      </c>
      <c r="N31" s="2">
        <f t="shared" si="13"/>
        <v>465</v>
      </c>
      <c r="O31" s="2">
        <v>464</v>
      </c>
      <c r="P31" s="2">
        <v>511</v>
      </c>
      <c r="S31" s="14">
        <f t="shared" si="14"/>
        <v>2.4383328815035465E-2</v>
      </c>
      <c r="T31" s="12">
        <f t="shared" si="15"/>
        <v>2.4383328815035465E-2</v>
      </c>
      <c r="U31" s="2">
        <f>295+1111</f>
        <v>1406</v>
      </c>
      <c r="V31" s="2">
        <f>238+1166</f>
        <v>1404</v>
      </c>
      <c r="W31" s="2">
        <f>229+1211</f>
        <v>1440</v>
      </c>
      <c r="X31" s="2">
        <f>198+1218</f>
        <v>1416</v>
      </c>
      <c r="Y31" s="2">
        <v>1334</v>
      </c>
      <c r="Z31" s="2">
        <v>1363</v>
      </c>
      <c r="AA31" s="2">
        <v>1240</v>
      </c>
      <c r="AB31" s="2">
        <v>1456</v>
      </c>
      <c r="AC31" s="2">
        <v>1508</v>
      </c>
      <c r="AD31" s="2">
        <v>1789</v>
      </c>
      <c r="AE31" s="2">
        <f t="shared" ref="AE31:AO31" si="19">+AD31*1.02</f>
        <v>1824.78</v>
      </c>
      <c r="AF31" s="2">
        <f t="shared" si="19"/>
        <v>1861.2755999999999</v>
      </c>
      <c r="AG31" s="2">
        <f t="shared" si="19"/>
        <v>1898.5011119999999</v>
      </c>
      <c r="AH31" s="2">
        <f t="shared" si="19"/>
        <v>1936.4711342399999</v>
      </c>
      <c r="AI31" s="2">
        <f t="shared" si="19"/>
        <v>1975.2005569247999</v>
      </c>
      <c r="AJ31" s="2">
        <f t="shared" si="19"/>
        <v>2014.7045680632959</v>
      </c>
      <c r="AK31" s="2">
        <f t="shared" si="19"/>
        <v>2054.998659424562</v>
      </c>
      <c r="AL31" s="2">
        <f t="shared" si="19"/>
        <v>2096.0986326130533</v>
      </c>
      <c r="AM31" s="2">
        <f t="shared" si="19"/>
        <v>2138.0206052653143</v>
      </c>
      <c r="AN31" s="2">
        <f t="shared" si="19"/>
        <v>2180.7810173706207</v>
      </c>
      <c r="AO31" s="2">
        <f t="shared" si="19"/>
        <v>2224.3966377180332</v>
      </c>
    </row>
    <row r="32" spans="2:46" x14ac:dyDescent="0.2">
      <c r="B32" s="2" t="s">
        <v>69</v>
      </c>
      <c r="C32" s="2">
        <v>312</v>
      </c>
      <c r="D32" s="2">
        <v>315</v>
      </c>
      <c r="E32" s="2">
        <v>322</v>
      </c>
      <c r="F32" s="2">
        <f t="shared" si="11"/>
        <v>323</v>
      </c>
      <c r="G32" s="2">
        <v>324</v>
      </c>
      <c r="H32" s="2">
        <v>325</v>
      </c>
      <c r="I32" s="2">
        <v>335</v>
      </c>
      <c r="J32" s="2">
        <f t="shared" si="12"/>
        <v>367</v>
      </c>
      <c r="K32" s="2">
        <v>365</v>
      </c>
      <c r="L32" s="2">
        <v>367</v>
      </c>
      <c r="M32" s="2">
        <v>375</v>
      </c>
      <c r="N32" s="2">
        <f t="shared" si="13"/>
        <v>415</v>
      </c>
      <c r="O32" s="2">
        <v>408</v>
      </c>
      <c r="P32" s="2">
        <v>404</v>
      </c>
      <c r="S32" s="14">
        <f t="shared" si="14"/>
        <v>4.9593618172053766E-2</v>
      </c>
      <c r="T32" s="12">
        <f t="shared" si="15"/>
        <v>4.9593618172053766E-2</v>
      </c>
      <c r="U32" s="2">
        <v>938</v>
      </c>
      <c r="V32" s="2">
        <v>1015</v>
      </c>
      <c r="W32" s="2">
        <v>1221</v>
      </c>
      <c r="X32" s="2">
        <v>1218</v>
      </c>
      <c r="Y32" s="2">
        <v>1201</v>
      </c>
      <c r="Z32" s="2">
        <v>1219</v>
      </c>
      <c r="AA32" s="2">
        <v>1255</v>
      </c>
      <c r="AB32" s="2">
        <v>1272</v>
      </c>
      <c r="AC32" s="2">
        <v>1351</v>
      </c>
      <c r="AD32" s="2">
        <v>1522</v>
      </c>
      <c r="AE32" s="2">
        <f t="shared" ref="AE32:AO32" si="20">+AD32*1.05</f>
        <v>1598.1000000000001</v>
      </c>
      <c r="AF32" s="2">
        <f t="shared" si="20"/>
        <v>1678.0050000000001</v>
      </c>
      <c r="AG32" s="2">
        <f t="shared" si="20"/>
        <v>1761.9052500000003</v>
      </c>
      <c r="AH32" s="2">
        <f t="shared" si="20"/>
        <v>1850.0005125000002</v>
      </c>
      <c r="AI32" s="2">
        <f t="shared" si="20"/>
        <v>1942.5005381250003</v>
      </c>
      <c r="AJ32" s="2">
        <f t="shared" si="20"/>
        <v>2039.6255650312503</v>
      </c>
      <c r="AK32" s="2">
        <f t="shared" si="20"/>
        <v>2141.6068432828129</v>
      </c>
      <c r="AL32" s="2">
        <f t="shared" si="20"/>
        <v>2248.6871854469537</v>
      </c>
      <c r="AM32" s="2">
        <f t="shared" si="20"/>
        <v>2361.1215447193013</v>
      </c>
      <c r="AN32" s="2">
        <f t="shared" si="20"/>
        <v>2479.1776219552662</v>
      </c>
      <c r="AO32" s="2">
        <f t="shared" si="20"/>
        <v>2603.1365030530296</v>
      </c>
    </row>
    <row r="33" spans="2:142" ht="13.5" thickBot="1" x14ac:dyDescent="0.25">
      <c r="B33" s="2" t="s">
        <v>33</v>
      </c>
      <c r="C33" s="2">
        <v>463</v>
      </c>
      <c r="D33" s="2">
        <v>586</v>
      </c>
      <c r="E33" s="2">
        <v>662</v>
      </c>
      <c r="F33" s="2">
        <f t="shared" si="11"/>
        <v>683</v>
      </c>
      <c r="G33" s="2">
        <v>731</v>
      </c>
      <c r="H33" s="2">
        <v>791</v>
      </c>
      <c r="I33" s="2">
        <v>819</v>
      </c>
      <c r="J33" s="2">
        <f t="shared" si="12"/>
        <v>1394</v>
      </c>
      <c r="K33" s="2">
        <v>952</v>
      </c>
      <c r="L33" s="2">
        <v>956</v>
      </c>
      <c r="M33" s="2">
        <v>958</v>
      </c>
      <c r="N33" s="2">
        <f t="shared" si="13"/>
        <v>1133</v>
      </c>
      <c r="O33" s="2">
        <v>1018</v>
      </c>
      <c r="P33" s="2">
        <v>1093</v>
      </c>
      <c r="S33" s="13">
        <f t="shared" si="14"/>
        <v>5.5457895546129787E-2</v>
      </c>
      <c r="T33" s="12">
        <f t="shared" si="15"/>
        <v>5.5457895546129787E-2</v>
      </c>
      <c r="U33" s="2">
        <f>126+2205</f>
        <v>2331</v>
      </c>
      <c r="V33" s="2">
        <f>2242+39</f>
        <v>2281</v>
      </c>
      <c r="W33" s="2">
        <v>2514</v>
      </c>
      <c r="X33" s="2">
        <v>2688</v>
      </c>
      <c r="Y33" s="2">
        <v>2852</v>
      </c>
      <c r="Z33" s="2">
        <v>3026</v>
      </c>
      <c r="AA33" s="2">
        <v>1926</v>
      </c>
      <c r="AB33" s="2">
        <v>2394</v>
      </c>
      <c r="AC33" s="2">
        <v>3735</v>
      </c>
      <c r="AD33" s="2">
        <v>3999</v>
      </c>
      <c r="AE33" s="2">
        <f t="shared" ref="AE33:AO33" si="21">+AD33*1.06</f>
        <v>4238.9400000000005</v>
      </c>
      <c r="AF33" s="2">
        <f t="shared" si="21"/>
        <v>4493.2764000000006</v>
      </c>
      <c r="AG33" s="2">
        <f t="shared" si="21"/>
        <v>4762.8729840000005</v>
      </c>
      <c r="AH33" s="2">
        <f t="shared" si="21"/>
        <v>5048.645363040001</v>
      </c>
      <c r="AI33" s="2">
        <f t="shared" si="21"/>
        <v>5351.5640848224011</v>
      </c>
      <c r="AJ33" s="2">
        <f t="shared" si="21"/>
        <v>5672.6579299117457</v>
      </c>
      <c r="AK33" s="2">
        <f t="shared" si="21"/>
        <v>6013.0174057064505</v>
      </c>
      <c r="AL33" s="2">
        <f t="shared" si="21"/>
        <v>6373.7984500488383</v>
      </c>
      <c r="AM33" s="2">
        <f t="shared" si="21"/>
        <v>6756.2263570517689</v>
      </c>
      <c r="AN33" s="2">
        <f t="shared" si="21"/>
        <v>7161.5999384748757</v>
      </c>
      <c r="AO33" s="2">
        <f t="shared" si="21"/>
        <v>7591.2959347833685</v>
      </c>
    </row>
    <row r="34" spans="2:142" x14ac:dyDescent="0.2">
      <c r="B34" s="2" t="s">
        <v>68</v>
      </c>
      <c r="C34" s="2">
        <f t="shared" ref="C34:P34" si="22">+SUM(C28:C33)</f>
        <v>3301</v>
      </c>
      <c r="D34" s="2">
        <f t="shared" si="22"/>
        <v>4154</v>
      </c>
      <c r="E34" s="2">
        <f t="shared" si="22"/>
        <v>4722</v>
      </c>
      <c r="F34" s="2">
        <f t="shared" si="22"/>
        <v>4852</v>
      </c>
      <c r="G34" s="2">
        <f t="shared" si="22"/>
        <v>4845</v>
      </c>
      <c r="H34" s="2">
        <f t="shared" si="22"/>
        <v>5570</v>
      </c>
      <c r="I34" s="2">
        <f t="shared" si="22"/>
        <v>5825</v>
      </c>
      <c r="J34" s="2">
        <f t="shared" si="22"/>
        <v>6557</v>
      </c>
      <c r="K34" s="2">
        <f t="shared" si="22"/>
        <v>5990</v>
      </c>
      <c r="L34" s="2">
        <f t="shared" si="22"/>
        <v>6242</v>
      </c>
      <c r="M34" s="2">
        <f t="shared" si="22"/>
        <v>6408</v>
      </c>
      <c r="N34" s="2">
        <f t="shared" si="22"/>
        <v>7227</v>
      </c>
      <c r="O34" s="2">
        <f t="shared" si="22"/>
        <v>6722</v>
      </c>
      <c r="P34" s="2">
        <f t="shared" si="22"/>
        <v>6956</v>
      </c>
      <c r="U34" s="2">
        <f t="shared" ref="U34:AO34" si="23">+SUM(U28:U33)</f>
        <v>17380</v>
      </c>
      <c r="V34" s="2">
        <f t="shared" si="23"/>
        <v>15704</v>
      </c>
      <c r="W34" s="2">
        <f t="shared" si="23"/>
        <v>16665</v>
      </c>
      <c r="X34" s="2">
        <f t="shared" si="23"/>
        <v>17582</v>
      </c>
      <c r="Y34" s="2">
        <f t="shared" si="23"/>
        <v>18759</v>
      </c>
      <c r="Z34" s="2">
        <f t="shared" si="23"/>
        <v>19471</v>
      </c>
      <c r="AA34" s="2">
        <f t="shared" si="23"/>
        <v>13831</v>
      </c>
      <c r="AB34" s="2">
        <f t="shared" si="23"/>
        <v>17029</v>
      </c>
      <c r="AC34" s="2">
        <f t="shared" si="23"/>
        <v>22797</v>
      </c>
      <c r="AD34" s="2">
        <f t="shared" si="23"/>
        <v>25867</v>
      </c>
      <c r="AE34" s="2">
        <f t="shared" si="23"/>
        <v>27036.039999999994</v>
      </c>
      <c r="AF34" s="2">
        <f t="shared" si="23"/>
        <v>28267.106200000002</v>
      </c>
      <c r="AG34" s="2">
        <f t="shared" si="23"/>
        <v>29563.735018000003</v>
      </c>
      <c r="AH34" s="2">
        <f t="shared" si="23"/>
        <v>30929.670212500001</v>
      </c>
      <c r="AI34" s="2">
        <f t="shared" si="23"/>
        <v>32368.875168963408</v>
      </c>
      <c r="AJ34" s="2">
        <f t="shared" si="23"/>
        <v>33885.545917535128</v>
      </c>
      <c r="AK34" s="2">
        <f t="shared" si="23"/>
        <v>35484.124925628392</v>
      </c>
      <c r="AL34" s="2">
        <f t="shared" si="23"/>
        <v>37169.315711598581</v>
      </c>
      <c r="AM34" s="2">
        <f t="shared" si="23"/>
        <v>38946.098328482636</v>
      </c>
      <c r="AN34" s="2">
        <f t="shared" si="23"/>
        <v>40819.74576970785</v>
      </c>
      <c r="AO34" s="2">
        <f t="shared" si="23"/>
        <v>42795.841351773503</v>
      </c>
    </row>
    <row r="35" spans="2:142" s="7" customFormat="1" x14ac:dyDescent="0.2">
      <c r="B35" s="7" t="s">
        <v>67</v>
      </c>
      <c r="C35" s="7">
        <f t="shared" ref="C35:P35" si="24">+C27-C34</f>
        <v>-1249</v>
      </c>
      <c r="D35" s="7">
        <f t="shared" si="24"/>
        <v>-146</v>
      </c>
      <c r="E35" s="7">
        <f t="shared" si="24"/>
        <v>-43</v>
      </c>
      <c r="F35" s="7">
        <f t="shared" si="24"/>
        <v>199</v>
      </c>
      <c r="G35" s="7">
        <f t="shared" si="24"/>
        <v>-151</v>
      </c>
      <c r="H35" s="7">
        <f t="shared" si="24"/>
        <v>1158</v>
      </c>
      <c r="I35" s="7">
        <f t="shared" si="24"/>
        <v>395</v>
      </c>
      <c r="J35" s="7">
        <f t="shared" si="24"/>
        <v>-385</v>
      </c>
      <c r="K35" s="7">
        <f t="shared" si="24"/>
        <v>-284</v>
      </c>
      <c r="L35" s="7">
        <f t="shared" si="24"/>
        <v>795</v>
      </c>
      <c r="M35" s="7">
        <f t="shared" si="24"/>
        <v>117</v>
      </c>
      <c r="N35" s="7">
        <f t="shared" si="24"/>
        <v>-404</v>
      </c>
      <c r="O35" s="7">
        <f t="shared" si="24"/>
        <v>-393</v>
      </c>
      <c r="P35" s="7">
        <f t="shared" si="24"/>
        <v>398</v>
      </c>
      <c r="T35" s="8"/>
      <c r="U35" s="7">
        <f t="shared" ref="U35:AO35" si="25">+U27-U34</f>
        <v>1225</v>
      </c>
      <c r="V35" s="7">
        <f t="shared" si="25"/>
        <v>4116</v>
      </c>
      <c r="W35" s="7">
        <f t="shared" si="25"/>
        <v>3760</v>
      </c>
      <c r="X35" s="7">
        <f t="shared" si="25"/>
        <v>3589</v>
      </c>
      <c r="Y35" s="7">
        <f t="shared" si="25"/>
        <v>3206</v>
      </c>
      <c r="Z35" s="7">
        <f t="shared" si="25"/>
        <v>2957</v>
      </c>
      <c r="AA35" s="7">
        <f t="shared" si="25"/>
        <v>-4783</v>
      </c>
      <c r="AB35" s="7">
        <f t="shared" si="25"/>
        <v>-1239</v>
      </c>
      <c r="AC35" s="7">
        <f t="shared" si="25"/>
        <v>1017</v>
      </c>
      <c r="AD35" s="7">
        <f t="shared" si="25"/>
        <v>224</v>
      </c>
      <c r="AE35" s="7">
        <f t="shared" si="25"/>
        <v>662.36000000000786</v>
      </c>
      <c r="AF35" s="7">
        <f t="shared" si="25"/>
        <v>816.21380000000136</v>
      </c>
      <c r="AG35" s="7">
        <f t="shared" si="25"/>
        <v>973.75098200000139</v>
      </c>
      <c r="AH35" s="7">
        <f t="shared" si="25"/>
        <v>1134.6900875000065</v>
      </c>
      <c r="AI35" s="7">
        <f t="shared" si="25"/>
        <v>1298.7031460365979</v>
      </c>
      <c r="AJ35" s="7">
        <f t="shared" si="25"/>
        <v>1465.4113132148777</v>
      </c>
      <c r="AK35" s="7">
        <f t="shared" si="25"/>
        <v>1634.3801666591171</v>
      </c>
      <c r="AL35" s="7">
        <f t="shared" si="25"/>
        <v>1805.1146353033037</v>
      </c>
      <c r="AM35" s="7">
        <f t="shared" si="25"/>
        <v>1977.0535357643457</v>
      </c>
      <c r="AN35" s="7">
        <f t="shared" si="25"/>
        <v>2149.5636877514844</v>
      </c>
      <c r="AO35" s="7">
        <f t="shared" si="25"/>
        <v>2321.9335785587973</v>
      </c>
    </row>
    <row r="36" spans="2:142" x14ac:dyDescent="0.2">
      <c r="B36" s="2" t="s">
        <v>66</v>
      </c>
      <c r="C36" s="2">
        <f>-114+2</f>
        <v>-112</v>
      </c>
      <c r="D36" s="2">
        <f>-116+2</f>
        <v>-114</v>
      </c>
      <c r="E36" s="2">
        <f>-115+2</f>
        <v>-113</v>
      </c>
      <c r="F36" s="2">
        <f>+AB36-SUM(C36:E36)</f>
        <v>-115</v>
      </c>
      <c r="G36" s="2">
        <f>-93+3</f>
        <v>-90</v>
      </c>
      <c r="H36" s="2">
        <f>-93+28</f>
        <v>-65</v>
      </c>
      <c r="I36" s="2">
        <f>-86+70</f>
        <v>-16</v>
      </c>
      <c r="J36" s="2">
        <f>+AC36-SUM(G36:I36)</f>
        <v>48</v>
      </c>
      <c r="K36" s="2">
        <f>-66+125</f>
        <v>59</v>
      </c>
      <c r="L36" s="2">
        <f>-65+144</f>
        <v>79</v>
      </c>
      <c r="M36" s="2">
        <f>-63+156</f>
        <v>93</v>
      </c>
      <c r="N36" s="2">
        <f>+AD36-SUM(K36:M36)</f>
        <v>93</v>
      </c>
      <c r="O36" s="2">
        <f>-65+141</f>
        <v>76</v>
      </c>
      <c r="P36" s="2">
        <f>-63+130</f>
        <v>67</v>
      </c>
      <c r="Q36" s="2">
        <v>-62</v>
      </c>
      <c r="U36" s="2">
        <f>-130+7</f>
        <v>-123</v>
      </c>
      <c r="V36" s="2">
        <f>-122+24</f>
        <v>-98</v>
      </c>
      <c r="W36" s="2">
        <f>-122+24</f>
        <v>-98</v>
      </c>
      <c r="X36" s="2">
        <f>-114+35</f>
        <v>-79</v>
      </c>
      <c r="Y36" s="2">
        <f>-131+69</f>
        <v>-62</v>
      </c>
      <c r="Z36" s="2">
        <f>-118+90</f>
        <v>-28</v>
      </c>
      <c r="AA36" s="2">
        <f>-349+32</f>
        <v>-317</v>
      </c>
      <c r="AB36" s="2">
        <f>-467+13</f>
        <v>-454</v>
      </c>
      <c r="AC36" s="2">
        <f>-340+217</f>
        <v>-123</v>
      </c>
      <c r="AD36" s="2">
        <f>-259+583</f>
        <v>324</v>
      </c>
      <c r="AE36" s="2">
        <f>+AD55*$AR$46</f>
        <v>40.119999999999997</v>
      </c>
      <c r="AF36" s="2">
        <f>+AE55*$AR$46</f>
        <v>50.657200000000124</v>
      </c>
      <c r="AG36" s="2">
        <f t="shared" ref="AG36:AO36" si="26">+AF55*$AR$46</f>
        <v>63.660265000000145</v>
      </c>
      <c r="AH36" s="2">
        <f t="shared" si="26"/>
        <v>79.221433705000166</v>
      </c>
      <c r="AI36" s="2">
        <f t="shared" si="26"/>
        <v>97.430106523075267</v>
      </c>
      <c r="AJ36" s="2">
        <f t="shared" si="26"/>
        <v>118.37210531147036</v>
      </c>
      <c r="AK36" s="2">
        <f t="shared" si="26"/>
        <v>142.1288565893656</v>
      </c>
      <c r="AL36" s="2">
        <f t="shared" si="26"/>
        <v>168.77649193809285</v>
      </c>
      <c r="AM36" s="2">
        <f t="shared" si="26"/>
        <v>198.3848588467138</v>
      </c>
      <c r="AN36" s="2">
        <f t="shared" si="26"/>
        <v>231.01643476587969</v>
      </c>
      <c r="AO36" s="2">
        <f t="shared" si="26"/>
        <v>266.72513660364012</v>
      </c>
    </row>
    <row r="37" spans="2:142" x14ac:dyDescent="0.2">
      <c r="B37" s="2" t="s">
        <v>65</v>
      </c>
      <c r="C37" s="2">
        <f t="shared" ref="C37:P37" si="27">+C35+SUM(C36:C36)</f>
        <v>-1361</v>
      </c>
      <c r="D37" s="2">
        <f t="shared" si="27"/>
        <v>-260</v>
      </c>
      <c r="E37" s="2">
        <f t="shared" si="27"/>
        <v>-156</v>
      </c>
      <c r="F37" s="2">
        <f t="shared" si="27"/>
        <v>84</v>
      </c>
      <c r="G37" s="2">
        <f t="shared" si="27"/>
        <v>-241</v>
      </c>
      <c r="H37" s="2">
        <f t="shared" si="27"/>
        <v>1093</v>
      </c>
      <c r="I37" s="2">
        <f t="shared" si="27"/>
        <v>379</v>
      </c>
      <c r="J37" s="2">
        <f t="shared" si="27"/>
        <v>-337</v>
      </c>
      <c r="K37" s="2">
        <f t="shared" si="27"/>
        <v>-225</v>
      </c>
      <c r="L37" s="2">
        <f t="shared" si="27"/>
        <v>874</v>
      </c>
      <c r="M37" s="2">
        <f t="shared" si="27"/>
        <v>210</v>
      </c>
      <c r="N37" s="2">
        <f t="shared" si="27"/>
        <v>-311</v>
      </c>
      <c r="O37" s="2">
        <f t="shared" si="27"/>
        <v>-317</v>
      </c>
      <c r="P37" s="2">
        <f t="shared" si="27"/>
        <v>465</v>
      </c>
      <c r="U37" s="2">
        <f t="shared" ref="U37:AO37" si="28">+U35+SUM(U36:U36)</f>
        <v>1102</v>
      </c>
      <c r="V37" s="2">
        <f t="shared" si="28"/>
        <v>4018</v>
      </c>
      <c r="W37" s="2">
        <f t="shared" si="28"/>
        <v>3662</v>
      </c>
      <c r="X37" s="2">
        <f t="shared" si="28"/>
        <v>3510</v>
      </c>
      <c r="Y37" s="2">
        <f t="shared" si="28"/>
        <v>3144</v>
      </c>
      <c r="Z37" s="2">
        <f t="shared" si="28"/>
        <v>2929</v>
      </c>
      <c r="AA37" s="2">
        <f t="shared" si="28"/>
        <v>-5100</v>
      </c>
      <c r="AB37" s="2">
        <f t="shared" si="28"/>
        <v>-1693</v>
      </c>
      <c r="AC37" s="2">
        <f t="shared" si="28"/>
        <v>894</v>
      </c>
      <c r="AD37" s="2">
        <f t="shared" si="28"/>
        <v>548</v>
      </c>
      <c r="AE37" s="2">
        <f t="shared" si="28"/>
        <v>702.48000000000786</v>
      </c>
      <c r="AF37" s="2">
        <f t="shared" si="28"/>
        <v>866.87100000000146</v>
      </c>
      <c r="AG37" s="2">
        <f t="shared" si="28"/>
        <v>1037.4112470000016</v>
      </c>
      <c r="AH37" s="2">
        <f t="shared" si="28"/>
        <v>1213.9115212050067</v>
      </c>
      <c r="AI37" s="2">
        <f t="shared" si="28"/>
        <v>1396.1332525596731</v>
      </c>
      <c r="AJ37" s="2">
        <f t="shared" si="28"/>
        <v>1583.7834185263482</v>
      </c>
      <c r="AK37" s="2">
        <f t="shared" si="28"/>
        <v>1776.5090232484827</v>
      </c>
      <c r="AL37" s="2">
        <f t="shared" si="28"/>
        <v>1973.8911272413966</v>
      </c>
      <c r="AM37" s="2">
        <f t="shared" si="28"/>
        <v>2175.4383946110597</v>
      </c>
      <c r="AN37" s="2">
        <f t="shared" si="28"/>
        <v>2380.5801225173641</v>
      </c>
      <c r="AO37" s="2">
        <f t="shared" si="28"/>
        <v>2588.6587151624376</v>
      </c>
    </row>
    <row r="38" spans="2:142" x14ac:dyDescent="0.2">
      <c r="B38" s="2" t="s">
        <v>64</v>
      </c>
      <c r="C38" s="2">
        <v>30</v>
      </c>
      <c r="D38" s="2">
        <v>154</v>
      </c>
      <c r="E38" s="2">
        <v>154</v>
      </c>
      <c r="F38" s="2">
        <f>+AB38-SUM(C38:E38)</f>
        <v>10</v>
      </c>
      <c r="G38" s="2">
        <v>-98</v>
      </c>
      <c r="H38" s="2">
        <v>276</v>
      </c>
      <c r="I38" s="2">
        <v>76</v>
      </c>
      <c r="J38" s="2">
        <f>+AC38-SUM(G38:I38)</f>
        <v>-65</v>
      </c>
      <c r="K38" s="2">
        <v>-46</v>
      </c>
      <c r="L38" s="2">
        <v>203</v>
      </c>
      <c r="M38" s="2">
        <v>44</v>
      </c>
      <c r="N38" s="2">
        <f>+AD38-SUM(K38:M38)</f>
        <v>-33</v>
      </c>
      <c r="O38" s="2">
        <v>-67</v>
      </c>
      <c r="P38" s="2">
        <v>111</v>
      </c>
      <c r="U38" s="2">
        <v>680</v>
      </c>
      <c r="V38" s="2">
        <v>1303</v>
      </c>
      <c r="W38" s="2">
        <v>1303</v>
      </c>
      <c r="X38" s="2">
        <v>-237</v>
      </c>
      <c r="Y38" s="2">
        <v>699</v>
      </c>
      <c r="Z38" s="2">
        <v>657</v>
      </c>
      <c r="AA38" s="2">
        <v>-1182</v>
      </c>
      <c r="AB38" s="2">
        <v>348</v>
      </c>
      <c r="AC38" s="2">
        <v>189</v>
      </c>
      <c r="AD38" s="2">
        <v>168</v>
      </c>
      <c r="AE38" s="2">
        <f t="shared" ref="AE38:AO38" si="29">+AE37*0.25</f>
        <v>175.62000000000197</v>
      </c>
      <c r="AF38" s="2">
        <f t="shared" si="29"/>
        <v>216.71775000000036</v>
      </c>
      <c r="AG38" s="2">
        <f t="shared" si="29"/>
        <v>259.3528117500004</v>
      </c>
      <c r="AH38" s="2">
        <f t="shared" si="29"/>
        <v>303.47788030125167</v>
      </c>
      <c r="AI38" s="2">
        <f t="shared" si="29"/>
        <v>349.03331313991828</v>
      </c>
      <c r="AJ38" s="2">
        <f t="shared" si="29"/>
        <v>395.94585463158705</v>
      </c>
      <c r="AK38" s="2">
        <f t="shared" si="29"/>
        <v>444.12725581212067</v>
      </c>
      <c r="AL38" s="2">
        <f t="shared" si="29"/>
        <v>493.47278181034915</v>
      </c>
      <c r="AM38" s="2">
        <f t="shared" si="29"/>
        <v>543.85959865276493</v>
      </c>
      <c r="AN38" s="2">
        <f t="shared" si="29"/>
        <v>595.14503062934102</v>
      </c>
      <c r="AO38" s="2">
        <f t="shared" si="29"/>
        <v>647.1646787906094</v>
      </c>
    </row>
    <row r="39" spans="2:142" s="7" customFormat="1" x14ac:dyDescent="0.2">
      <c r="B39" s="7" t="s">
        <v>63</v>
      </c>
      <c r="C39" s="11">
        <f t="shared" ref="C39:P39" si="30">+C37-C38</f>
        <v>-1391</v>
      </c>
      <c r="D39" s="11">
        <f t="shared" si="30"/>
        <v>-414</v>
      </c>
      <c r="E39" s="11">
        <f t="shared" si="30"/>
        <v>-310</v>
      </c>
      <c r="F39" s="11">
        <f t="shared" si="30"/>
        <v>74</v>
      </c>
      <c r="G39" s="7">
        <f t="shared" si="30"/>
        <v>-143</v>
      </c>
      <c r="H39" s="7">
        <f t="shared" si="30"/>
        <v>817</v>
      </c>
      <c r="I39" s="7">
        <f t="shared" si="30"/>
        <v>303</v>
      </c>
      <c r="J39" s="7">
        <f t="shared" si="30"/>
        <v>-272</v>
      </c>
      <c r="K39" s="7">
        <f t="shared" si="30"/>
        <v>-179</v>
      </c>
      <c r="L39" s="7">
        <f t="shared" si="30"/>
        <v>671</v>
      </c>
      <c r="M39" s="7">
        <f t="shared" si="30"/>
        <v>166</v>
      </c>
      <c r="N39" s="7">
        <f t="shared" si="30"/>
        <v>-278</v>
      </c>
      <c r="O39" s="7">
        <f t="shared" si="30"/>
        <v>-250</v>
      </c>
      <c r="P39" s="7">
        <f t="shared" si="30"/>
        <v>354</v>
      </c>
      <c r="T39" s="8"/>
      <c r="U39" s="7">
        <f t="shared" ref="U39:AO39" si="31">+U37-U38</f>
        <v>422</v>
      </c>
      <c r="V39" s="7">
        <f t="shared" si="31"/>
        <v>2715</v>
      </c>
      <c r="W39" s="7">
        <f t="shared" si="31"/>
        <v>2359</v>
      </c>
      <c r="X39" s="7">
        <f t="shared" si="31"/>
        <v>3747</v>
      </c>
      <c r="Y39" s="7">
        <f t="shared" si="31"/>
        <v>2445</v>
      </c>
      <c r="Z39" s="7">
        <f t="shared" si="31"/>
        <v>2272</v>
      </c>
      <c r="AA39" s="11">
        <f t="shared" si="31"/>
        <v>-3918</v>
      </c>
      <c r="AB39" s="11">
        <f t="shared" si="31"/>
        <v>-2041</v>
      </c>
      <c r="AC39" s="7">
        <f t="shared" si="31"/>
        <v>705</v>
      </c>
      <c r="AD39" s="7">
        <f t="shared" si="31"/>
        <v>380</v>
      </c>
      <c r="AE39" s="7">
        <f t="shared" si="31"/>
        <v>526.86000000000593</v>
      </c>
      <c r="AF39" s="7">
        <f t="shared" si="31"/>
        <v>650.15325000000109</v>
      </c>
      <c r="AG39" s="7">
        <f t="shared" si="31"/>
        <v>778.05843525000114</v>
      </c>
      <c r="AH39" s="7">
        <f t="shared" si="31"/>
        <v>910.43364090375508</v>
      </c>
      <c r="AI39" s="7">
        <f t="shared" si="31"/>
        <v>1047.0999394197547</v>
      </c>
      <c r="AJ39" s="7">
        <f t="shared" si="31"/>
        <v>1187.8375638947612</v>
      </c>
      <c r="AK39" s="7">
        <f t="shared" si="31"/>
        <v>1332.381767436362</v>
      </c>
      <c r="AL39" s="7">
        <f t="shared" si="31"/>
        <v>1480.4183454310473</v>
      </c>
      <c r="AM39" s="7">
        <f t="shared" si="31"/>
        <v>1631.5787959582949</v>
      </c>
      <c r="AN39" s="7">
        <f t="shared" si="31"/>
        <v>1785.4350918880232</v>
      </c>
      <c r="AO39" s="7">
        <f t="shared" si="31"/>
        <v>1941.4940363718283</v>
      </c>
      <c r="AP39" s="7">
        <f t="shared" ref="AP39:BU39" si="32">+AO39*(1+$AR$44)</f>
        <v>1922.0790960081101</v>
      </c>
      <c r="AQ39" s="7">
        <f t="shared" si="32"/>
        <v>1902.858305048029</v>
      </c>
      <c r="AR39" s="7">
        <f t="shared" si="32"/>
        <v>1883.8297219975486</v>
      </c>
      <c r="AS39" s="7">
        <f t="shared" si="32"/>
        <v>1864.9914247775732</v>
      </c>
      <c r="AT39" s="7">
        <f t="shared" si="32"/>
        <v>1846.3415105297975</v>
      </c>
      <c r="AU39" s="7">
        <f t="shared" si="32"/>
        <v>1827.8780954244994</v>
      </c>
      <c r="AV39" s="7">
        <f t="shared" si="32"/>
        <v>1809.5993144702543</v>
      </c>
      <c r="AW39" s="7">
        <f t="shared" si="32"/>
        <v>1791.5033213255517</v>
      </c>
      <c r="AX39" s="7">
        <f t="shared" si="32"/>
        <v>1773.5882881122961</v>
      </c>
      <c r="AY39" s="7">
        <f t="shared" si="32"/>
        <v>1755.8524052311732</v>
      </c>
      <c r="AZ39" s="7">
        <f t="shared" si="32"/>
        <v>1738.2938811788615</v>
      </c>
      <c r="BA39" s="7">
        <f t="shared" si="32"/>
        <v>1720.9109423670729</v>
      </c>
      <c r="BB39" s="7">
        <f t="shared" si="32"/>
        <v>1703.7018329434022</v>
      </c>
      <c r="BC39" s="7">
        <f t="shared" si="32"/>
        <v>1686.6648146139682</v>
      </c>
      <c r="BD39" s="7">
        <f t="shared" si="32"/>
        <v>1669.7981664678287</v>
      </c>
      <c r="BE39" s="7">
        <f t="shared" si="32"/>
        <v>1653.1001848031503</v>
      </c>
      <c r="BF39" s="7">
        <f t="shared" si="32"/>
        <v>1636.5691829551188</v>
      </c>
      <c r="BG39" s="7">
        <f t="shared" si="32"/>
        <v>1620.2034911255676</v>
      </c>
      <c r="BH39" s="7">
        <f t="shared" si="32"/>
        <v>1604.0014562143119</v>
      </c>
      <c r="BI39" s="7">
        <f t="shared" si="32"/>
        <v>1587.9614416521688</v>
      </c>
      <c r="BJ39" s="7">
        <f t="shared" si="32"/>
        <v>1572.0818272356471</v>
      </c>
      <c r="BK39" s="7">
        <f t="shared" si="32"/>
        <v>1556.3610089632907</v>
      </c>
      <c r="BL39" s="7">
        <f t="shared" si="32"/>
        <v>1540.7973988736578</v>
      </c>
      <c r="BM39" s="7">
        <f t="shared" si="32"/>
        <v>1525.3894248849213</v>
      </c>
      <c r="BN39" s="7">
        <f t="shared" si="32"/>
        <v>1510.135530636072</v>
      </c>
      <c r="BO39" s="7">
        <f t="shared" si="32"/>
        <v>1495.0341753297112</v>
      </c>
      <c r="BP39" s="7">
        <f t="shared" si="32"/>
        <v>1480.083833576414</v>
      </c>
      <c r="BQ39" s="7">
        <f t="shared" si="32"/>
        <v>1465.2829952406498</v>
      </c>
      <c r="BR39" s="7">
        <f t="shared" si="32"/>
        <v>1450.6301652882432</v>
      </c>
      <c r="BS39" s="7">
        <f t="shared" si="32"/>
        <v>1436.1238636353607</v>
      </c>
      <c r="BT39" s="7">
        <f t="shared" si="32"/>
        <v>1421.7626249990071</v>
      </c>
      <c r="BU39" s="7">
        <f t="shared" si="32"/>
        <v>1407.5449987490169</v>
      </c>
      <c r="BV39" s="7">
        <f t="shared" ref="BV39:DA39" si="33">+BU39*(1+$AR$44)</f>
        <v>1393.4695487615268</v>
      </c>
      <c r="BW39" s="7">
        <f t="shared" si="33"/>
        <v>1379.5348532739115</v>
      </c>
      <c r="BX39" s="7">
        <f t="shared" si="33"/>
        <v>1365.7395047411724</v>
      </c>
      <c r="BY39" s="7">
        <f t="shared" si="33"/>
        <v>1352.0821096937607</v>
      </c>
      <c r="BZ39" s="7">
        <f t="shared" si="33"/>
        <v>1338.561288596823</v>
      </c>
      <c r="CA39" s="7">
        <f t="shared" si="33"/>
        <v>1325.1756757108549</v>
      </c>
      <c r="CB39" s="7">
        <f t="shared" si="33"/>
        <v>1311.9239189537464</v>
      </c>
      <c r="CC39" s="7">
        <f t="shared" si="33"/>
        <v>1298.8046797642089</v>
      </c>
      <c r="CD39" s="7">
        <f t="shared" si="33"/>
        <v>1285.8166329665669</v>
      </c>
      <c r="CE39" s="7">
        <f t="shared" si="33"/>
        <v>1272.9584666369012</v>
      </c>
      <c r="CF39" s="7">
        <f t="shared" si="33"/>
        <v>1260.2288819705323</v>
      </c>
      <c r="CG39" s="7">
        <f t="shared" si="33"/>
        <v>1247.6265931508269</v>
      </c>
      <c r="CH39" s="7">
        <f t="shared" si="33"/>
        <v>1235.1503272193186</v>
      </c>
      <c r="CI39" s="7">
        <f t="shared" si="33"/>
        <v>1222.7988239471254</v>
      </c>
      <c r="CJ39" s="7">
        <f t="shared" si="33"/>
        <v>1210.5708357076542</v>
      </c>
      <c r="CK39" s="7">
        <f t="shared" si="33"/>
        <v>1198.4651273505776</v>
      </c>
      <c r="CL39" s="7">
        <f t="shared" si="33"/>
        <v>1186.4804760770719</v>
      </c>
      <c r="CM39" s="7">
        <f t="shared" si="33"/>
        <v>1174.6156713163011</v>
      </c>
      <c r="CN39" s="7">
        <f t="shared" si="33"/>
        <v>1162.8695146031382</v>
      </c>
      <c r="CO39" s="7">
        <f t="shared" si="33"/>
        <v>1151.2408194571069</v>
      </c>
      <c r="CP39" s="7">
        <f t="shared" si="33"/>
        <v>1139.7284112625359</v>
      </c>
      <c r="CQ39" s="7">
        <f t="shared" si="33"/>
        <v>1128.3311271499106</v>
      </c>
      <c r="CR39" s="7">
        <f t="shared" si="33"/>
        <v>1117.0478158784115</v>
      </c>
      <c r="CS39" s="7">
        <f t="shared" si="33"/>
        <v>1105.8773377196273</v>
      </c>
      <c r="CT39" s="7">
        <f t="shared" si="33"/>
        <v>1094.818564342431</v>
      </c>
      <c r="CU39" s="7">
        <f t="shared" si="33"/>
        <v>1083.8703786990068</v>
      </c>
      <c r="CV39" s="7">
        <f t="shared" si="33"/>
        <v>1073.0316749120168</v>
      </c>
      <c r="CW39" s="7">
        <f t="shared" si="33"/>
        <v>1062.3013581628966</v>
      </c>
      <c r="CX39" s="7">
        <f t="shared" si="33"/>
        <v>1051.6783445812675</v>
      </c>
      <c r="CY39" s="7">
        <f t="shared" si="33"/>
        <v>1041.1615611354548</v>
      </c>
      <c r="CZ39" s="7">
        <f t="shared" si="33"/>
        <v>1030.7499455241002</v>
      </c>
      <c r="DA39" s="7">
        <f t="shared" si="33"/>
        <v>1020.4424460688592</v>
      </c>
      <c r="DB39" s="7">
        <f t="shared" ref="DB39:EL39" si="34">+DA39*(1+$AR$44)</f>
        <v>1010.2380216081706</v>
      </c>
      <c r="DC39" s="7">
        <f t="shared" si="34"/>
        <v>1000.1356413920888</v>
      </c>
      <c r="DD39" s="7">
        <f t="shared" si="34"/>
        <v>990.1342849781679</v>
      </c>
      <c r="DE39" s="7">
        <f t="shared" si="34"/>
        <v>980.23294212838618</v>
      </c>
      <c r="DF39" s="7">
        <f t="shared" si="34"/>
        <v>970.43061270710234</v>
      </c>
      <c r="DG39" s="7">
        <f t="shared" si="34"/>
        <v>960.72630658003129</v>
      </c>
      <c r="DH39" s="7">
        <f t="shared" si="34"/>
        <v>951.11904351423095</v>
      </c>
      <c r="DI39" s="7">
        <f t="shared" si="34"/>
        <v>941.60785307908861</v>
      </c>
      <c r="DJ39" s="7">
        <f t="shared" si="34"/>
        <v>932.19177454829776</v>
      </c>
      <c r="DK39" s="7">
        <f t="shared" si="34"/>
        <v>922.86985680281475</v>
      </c>
      <c r="DL39" s="7">
        <f t="shared" si="34"/>
        <v>913.64115823478664</v>
      </c>
      <c r="DM39" s="7">
        <f t="shared" si="34"/>
        <v>904.50474665243883</v>
      </c>
      <c r="DN39" s="7">
        <f t="shared" si="34"/>
        <v>895.45969918591447</v>
      </c>
      <c r="DO39" s="7">
        <f t="shared" si="34"/>
        <v>886.50510219405533</v>
      </c>
      <c r="DP39" s="7">
        <f t="shared" si="34"/>
        <v>877.6400511721148</v>
      </c>
      <c r="DQ39" s="7">
        <f t="shared" si="34"/>
        <v>868.86365066039366</v>
      </c>
      <c r="DR39" s="7">
        <f t="shared" si="34"/>
        <v>860.17501415378968</v>
      </c>
      <c r="DS39" s="7">
        <f t="shared" si="34"/>
        <v>851.5732640122518</v>
      </c>
      <c r="DT39" s="7">
        <f t="shared" si="34"/>
        <v>843.05753137212923</v>
      </c>
      <c r="DU39" s="7">
        <f t="shared" si="34"/>
        <v>834.62695605840793</v>
      </c>
      <c r="DV39" s="7">
        <f t="shared" si="34"/>
        <v>826.28068649782381</v>
      </c>
      <c r="DW39" s="7">
        <f t="shared" si="34"/>
        <v>818.01787963284551</v>
      </c>
      <c r="DX39" s="7">
        <f t="shared" si="34"/>
        <v>809.837700836517</v>
      </c>
      <c r="DY39" s="7">
        <f t="shared" si="34"/>
        <v>801.73932382815178</v>
      </c>
      <c r="DZ39" s="7">
        <f t="shared" si="34"/>
        <v>793.72193058987023</v>
      </c>
      <c r="EA39" s="7">
        <f t="shared" si="34"/>
        <v>785.78471128397155</v>
      </c>
      <c r="EB39" s="7">
        <f t="shared" si="34"/>
        <v>777.9268641711318</v>
      </c>
      <c r="EC39" s="7">
        <f t="shared" si="34"/>
        <v>770.14759552942053</v>
      </c>
      <c r="ED39" s="7">
        <f t="shared" si="34"/>
        <v>762.44611957412633</v>
      </c>
      <c r="EE39" s="7">
        <f t="shared" si="34"/>
        <v>754.82165837838511</v>
      </c>
      <c r="EF39" s="7">
        <f t="shared" si="34"/>
        <v>747.27344179460124</v>
      </c>
      <c r="EG39" s="7">
        <f t="shared" si="34"/>
        <v>739.80070737665517</v>
      </c>
      <c r="EH39" s="7">
        <f t="shared" si="34"/>
        <v>732.40270030288866</v>
      </c>
      <c r="EI39" s="7">
        <f t="shared" si="34"/>
        <v>725.07867329985982</v>
      </c>
      <c r="EJ39" s="7">
        <f t="shared" si="34"/>
        <v>717.82788656686125</v>
      </c>
      <c r="EK39" s="7">
        <f t="shared" si="34"/>
        <v>710.64960770119262</v>
      </c>
      <c r="EL39" s="7">
        <f t="shared" si="34"/>
        <v>703.54311162418071</v>
      </c>
    </row>
    <row r="40" spans="2:142" x14ac:dyDescent="0.2">
      <c r="B40" s="2" t="s">
        <v>62</v>
      </c>
      <c r="C40" s="9">
        <f t="shared" ref="C40:P40" si="35">+C39/C41</f>
        <v>-2.3496621621621623</v>
      </c>
      <c r="D40" s="9">
        <f t="shared" si="35"/>
        <v>-0.67317073170731712</v>
      </c>
      <c r="E40" s="9">
        <f t="shared" si="35"/>
        <v>-0.51070840197693579</v>
      </c>
      <c r="F40" s="9">
        <f t="shared" si="35"/>
        <v>0.12238147739801544</v>
      </c>
      <c r="G40" s="9">
        <f t="shared" si="35"/>
        <v>-0.24155405405405406</v>
      </c>
      <c r="H40" s="9">
        <f t="shared" si="35"/>
        <v>1.2866141732283465</v>
      </c>
      <c r="I40" s="9">
        <f t="shared" si="35"/>
        <v>0.47417840375586856</v>
      </c>
      <c r="J40" s="9">
        <f t="shared" si="35"/>
        <v>-0.43729903536977494</v>
      </c>
      <c r="K40" s="9">
        <f t="shared" si="35"/>
        <v>-0.30134680134680136</v>
      </c>
      <c r="L40" s="9">
        <f t="shared" si="35"/>
        <v>1.0500782472613459</v>
      </c>
      <c r="M40" s="9">
        <f t="shared" si="35"/>
        <v>0.25937500000000002</v>
      </c>
      <c r="N40" s="9">
        <f t="shared" si="35"/>
        <v>-0.44527495995728772</v>
      </c>
      <c r="O40" s="9">
        <f t="shared" si="35"/>
        <v>-0.41876046901172531</v>
      </c>
      <c r="P40" s="9">
        <f t="shared" si="35"/>
        <v>0.55054432348367033</v>
      </c>
      <c r="U40" s="9">
        <f t="shared" ref="U40:AO40" si="36">+U39/U41</f>
        <v>0.62426599558683593</v>
      </c>
      <c r="V40" s="9">
        <f t="shared" si="36"/>
        <v>4.2550188284034629</v>
      </c>
      <c r="W40" s="9">
        <f t="shared" si="36"/>
        <v>3.8341855410721046</v>
      </c>
      <c r="X40" s="9">
        <f t="shared" si="36"/>
        <v>6.3729803539248504</v>
      </c>
      <c r="Y40" s="9">
        <f t="shared" si="36"/>
        <v>4.4238272663250351</v>
      </c>
      <c r="Z40" s="9">
        <f t="shared" si="36"/>
        <v>4.3920734363957594</v>
      </c>
      <c r="AA40" s="9">
        <f t="shared" si="36"/>
        <v>-6.6330614801809764</v>
      </c>
      <c r="AB40" s="9">
        <f t="shared" si="36"/>
        <v>-3.4456452866228044</v>
      </c>
      <c r="AC40" s="9">
        <f t="shared" si="36"/>
        <v>1.1862963547971908</v>
      </c>
      <c r="AD40" s="9">
        <f t="shared" si="36"/>
        <v>0.63687379650021525</v>
      </c>
      <c r="AE40" s="9">
        <f t="shared" si="36"/>
        <v>0.89192803940485699</v>
      </c>
      <c r="AF40" s="9">
        <f t="shared" si="36"/>
        <v>1.1117704655122578</v>
      </c>
      <c r="AG40" s="9">
        <f t="shared" si="36"/>
        <v>1.3439292791969148</v>
      </c>
      <c r="AH40" s="9">
        <f t="shared" si="36"/>
        <v>1.5884637281868592</v>
      </c>
      <c r="AI40" s="9">
        <f t="shared" si="36"/>
        <v>1.8453635816127911</v>
      </c>
      <c r="AJ40" s="9">
        <f t="shared" si="36"/>
        <v>2.1145388640500502</v>
      </c>
      <c r="AK40" s="9">
        <f t="shared" si="36"/>
        <v>2.3958085086053198</v>
      </c>
      <c r="AL40" s="9">
        <f t="shared" si="36"/>
        <v>2.6888878300752994</v>
      </c>
      <c r="AM40" s="9">
        <f t="shared" si="36"/>
        <v>2.9933747108065982</v>
      </c>
      <c r="AN40" s="9">
        <f t="shared" si="36"/>
        <v>3.3087343828086513</v>
      </c>
      <c r="AO40" s="9">
        <f t="shared" si="36"/>
        <v>3.6342826798617858</v>
      </c>
    </row>
    <row r="41" spans="2:142" x14ac:dyDescent="0.2">
      <c r="B41" s="2" t="s">
        <v>14</v>
      </c>
      <c r="C41" s="2">
        <v>592</v>
      </c>
      <c r="D41" s="2">
        <v>615</v>
      </c>
      <c r="E41" s="2">
        <v>607</v>
      </c>
      <c r="F41" s="2">
        <f>+AVERAGE(C41:E41)</f>
        <v>604.66666666666663</v>
      </c>
      <c r="G41" s="2">
        <v>592</v>
      </c>
      <c r="H41" s="2">
        <v>635</v>
      </c>
      <c r="I41" s="2">
        <v>639</v>
      </c>
      <c r="J41" s="2">
        <f>+AVERAGE(G41:I41)</f>
        <v>622</v>
      </c>
      <c r="K41" s="2">
        <v>594</v>
      </c>
      <c r="L41" s="2">
        <v>639</v>
      </c>
      <c r="M41" s="2">
        <v>640</v>
      </c>
      <c r="N41" s="2">
        <f>+AVERAGE(K41:M41)</f>
        <v>624.33333333333337</v>
      </c>
      <c r="O41" s="2">
        <v>597</v>
      </c>
      <c r="P41" s="2">
        <v>643</v>
      </c>
      <c r="U41" s="2">
        <v>675.99389199999996</v>
      </c>
      <c r="V41" s="2">
        <v>638.07003199999997</v>
      </c>
      <c r="W41" s="2">
        <v>615.25452399999995</v>
      </c>
      <c r="X41" s="2">
        <v>587.95097299999998</v>
      </c>
      <c r="Y41" s="2">
        <v>552.688849</v>
      </c>
      <c r="Z41" s="2">
        <v>517.29553999999996</v>
      </c>
      <c r="AA41" s="2">
        <v>590.67747399999996</v>
      </c>
      <c r="AB41" s="2">
        <v>592.34187799999995</v>
      </c>
      <c r="AC41" s="2">
        <v>594.28657699999997</v>
      </c>
      <c r="AD41" s="2">
        <v>596.66452300000003</v>
      </c>
      <c r="AE41" s="2">
        <f t="shared" ref="AE41:AO41" si="37">+AD41*0.99</f>
        <v>590.69787776999999</v>
      </c>
      <c r="AF41" s="2">
        <f t="shared" si="37"/>
        <v>584.79089899229996</v>
      </c>
      <c r="AG41" s="2">
        <f t="shared" si="37"/>
        <v>578.94299000237697</v>
      </c>
      <c r="AH41" s="2">
        <f t="shared" si="37"/>
        <v>573.15356010235325</v>
      </c>
      <c r="AI41" s="2">
        <f t="shared" si="37"/>
        <v>567.4220245013297</v>
      </c>
      <c r="AJ41" s="2">
        <f t="shared" si="37"/>
        <v>561.74780425631639</v>
      </c>
      <c r="AK41" s="2">
        <f t="shared" si="37"/>
        <v>556.13032621375316</v>
      </c>
      <c r="AL41" s="2">
        <f t="shared" si="37"/>
        <v>550.56902295161558</v>
      </c>
      <c r="AM41" s="2">
        <f t="shared" si="37"/>
        <v>545.0633327220994</v>
      </c>
      <c r="AN41" s="2">
        <f t="shared" si="37"/>
        <v>539.6126993948784</v>
      </c>
      <c r="AO41" s="2">
        <f t="shared" si="37"/>
        <v>534.21657240092964</v>
      </c>
    </row>
    <row r="43" spans="2:142" s="6" customFormat="1" x14ac:dyDescent="0.2">
      <c r="B43" s="6" t="s">
        <v>61</v>
      </c>
      <c r="C43" s="6">
        <f t="shared" ref="C43:P43" si="38">+C28/C27</f>
        <v>0.76559454191033138</v>
      </c>
      <c r="D43" s="6">
        <f t="shared" si="38"/>
        <v>0.45533932135728544</v>
      </c>
      <c r="E43" s="6">
        <f t="shared" si="38"/>
        <v>0.45351570848471895</v>
      </c>
      <c r="F43" s="6">
        <f t="shared" si="38"/>
        <v>0.4405068303306276</v>
      </c>
      <c r="G43" s="6">
        <f t="shared" si="38"/>
        <v>0.47486152535151255</v>
      </c>
      <c r="H43" s="6">
        <f t="shared" si="38"/>
        <v>0.32996432818073723</v>
      </c>
      <c r="I43" s="6">
        <f t="shared" si="38"/>
        <v>0.37331189710610935</v>
      </c>
      <c r="J43" s="6">
        <f t="shared" si="38"/>
        <v>0.42206740116655866</v>
      </c>
      <c r="K43" s="6">
        <f t="shared" si="38"/>
        <v>0.43427970557308099</v>
      </c>
      <c r="L43" s="6">
        <f t="shared" si="38"/>
        <v>0.39590734688077306</v>
      </c>
      <c r="M43" s="6">
        <f t="shared" si="38"/>
        <v>0.41808429118773949</v>
      </c>
      <c r="N43" s="6">
        <f t="shared" si="38"/>
        <v>0.46313938150373735</v>
      </c>
      <c r="O43" s="6">
        <f t="shared" si="38"/>
        <v>0.46452836151050719</v>
      </c>
      <c r="P43" s="6">
        <f t="shared" si="38"/>
        <v>0.40780527604025019</v>
      </c>
      <c r="Q43" s="6">
        <v>0.42</v>
      </c>
      <c r="U43" s="6">
        <f t="shared" ref="U43:AO43" si="39">+U28/U27</f>
        <v>0.34582101585595271</v>
      </c>
      <c r="V43" s="6">
        <f t="shared" si="39"/>
        <v>0.32204843592330978</v>
      </c>
      <c r="W43" s="6">
        <f t="shared" si="39"/>
        <v>0.33282741738066096</v>
      </c>
      <c r="X43" s="6">
        <f t="shared" si="39"/>
        <v>0.34570875253885031</v>
      </c>
      <c r="Y43" s="6">
        <f t="shared" si="39"/>
        <v>0.34823582972911449</v>
      </c>
      <c r="Z43" s="6">
        <f t="shared" si="39"/>
        <v>0.36976101301943998</v>
      </c>
      <c r="AA43" s="6">
        <f t="shared" si="39"/>
        <v>0.75276304155614504</v>
      </c>
      <c r="AB43" s="6">
        <f t="shared" si="39"/>
        <v>0.49037365421152629</v>
      </c>
      <c r="AC43" s="6">
        <f t="shared" si="39"/>
        <v>0.39371798101956834</v>
      </c>
      <c r="AD43" s="6">
        <f t="shared" si="39"/>
        <v>0.42742708213560232</v>
      </c>
      <c r="AE43" s="6">
        <f t="shared" si="39"/>
        <v>0.42677988620281315</v>
      </c>
      <c r="AF43" s="6">
        <f t="shared" si="39"/>
        <v>0.43084445654760184</v>
      </c>
      <c r="AG43" s="6">
        <f t="shared" si="39"/>
        <v>0.43494773708615042</v>
      </c>
      <c r="AH43" s="6">
        <f t="shared" si="39"/>
        <v>0.43909009648697089</v>
      </c>
      <c r="AI43" s="6">
        <f t="shared" si="39"/>
        <v>0.44327190692970397</v>
      </c>
      <c r="AJ43" s="6">
        <f t="shared" si="39"/>
        <v>0.44749354413855835</v>
      </c>
      <c r="AK43" s="6">
        <f t="shared" si="39"/>
        <v>0.45175538741606847</v>
      </c>
      <c r="AL43" s="6">
        <f t="shared" si="39"/>
        <v>0.4560578196771739</v>
      </c>
      <c r="AM43" s="6">
        <f t="shared" si="39"/>
        <v>0.46040122748362317</v>
      </c>
      <c r="AN43" s="6">
        <f t="shared" si="39"/>
        <v>0.46478600107870527</v>
      </c>
      <c r="AO43" s="6">
        <f t="shared" si="39"/>
        <v>0.46921253442231203</v>
      </c>
    </row>
    <row r="44" spans="2:142" s="6" customFormat="1" x14ac:dyDescent="0.2">
      <c r="B44" s="6" t="s">
        <v>60</v>
      </c>
      <c r="C44" s="6">
        <f t="shared" ref="C44:P44" si="40">+C29/C27</f>
        <v>0.22855750487329435</v>
      </c>
      <c r="D44" s="6">
        <f t="shared" si="40"/>
        <v>0.20034930139720558</v>
      </c>
      <c r="E44" s="6">
        <f t="shared" si="40"/>
        <v>0.2115836717247275</v>
      </c>
      <c r="F44" s="6">
        <f t="shared" si="40"/>
        <v>0.20748366660067313</v>
      </c>
      <c r="G44" s="6">
        <f t="shared" si="40"/>
        <v>0.21389007243289304</v>
      </c>
      <c r="H44" s="6">
        <f t="shared" si="40"/>
        <v>0.24316290130796669</v>
      </c>
      <c r="I44" s="6">
        <f t="shared" si="40"/>
        <v>0.28135048231511256</v>
      </c>
      <c r="J44" s="6">
        <f t="shared" si="40"/>
        <v>0.25680492546986389</v>
      </c>
      <c r="K44" s="6">
        <f t="shared" si="40"/>
        <v>0.27111812127585</v>
      </c>
      <c r="L44" s="6">
        <f t="shared" si="40"/>
        <v>0.19937473355122923</v>
      </c>
      <c r="M44" s="6">
        <f t="shared" si="40"/>
        <v>0.23969348659003831</v>
      </c>
      <c r="N44" s="6">
        <f t="shared" si="40"/>
        <v>0.24959695148761543</v>
      </c>
      <c r="O44" s="6">
        <f t="shared" si="40"/>
        <v>0.24190235424237636</v>
      </c>
      <c r="P44" s="6">
        <f t="shared" si="40"/>
        <v>0.21743268969268426</v>
      </c>
      <c r="Q44" s="6">
        <v>0.22</v>
      </c>
      <c r="U44" s="6">
        <f t="shared" ref="U44:AO44" si="41">+U29/U27</f>
        <v>0.28449341574845471</v>
      </c>
      <c r="V44" s="6">
        <f t="shared" si="41"/>
        <v>0.18244197780020183</v>
      </c>
      <c r="W44" s="6">
        <f t="shared" si="41"/>
        <v>0.17855569155446757</v>
      </c>
      <c r="X44" s="6">
        <f t="shared" si="41"/>
        <v>0.18610363232724009</v>
      </c>
      <c r="Y44" s="6">
        <f t="shared" si="41"/>
        <v>0.21015251536535398</v>
      </c>
      <c r="Z44" s="6">
        <f t="shared" si="41"/>
        <v>0.19382022471910113</v>
      </c>
      <c r="AA44" s="6">
        <f t="shared" si="41"/>
        <v>0.20435455349248452</v>
      </c>
      <c r="AB44" s="6">
        <f t="shared" si="41"/>
        <v>0.20962634578847372</v>
      </c>
      <c r="AC44" s="6">
        <f t="shared" si="41"/>
        <v>0.25090283026790966</v>
      </c>
      <c r="AD44" s="6">
        <f t="shared" si="41"/>
        <v>0.2382813997163773</v>
      </c>
      <c r="AE44" s="6">
        <f t="shared" si="41"/>
        <v>0.22894246599081536</v>
      </c>
      <c r="AF44" s="6">
        <f t="shared" si="41"/>
        <v>0.22240125267679203</v>
      </c>
      <c r="AG44" s="6">
        <f t="shared" si="41"/>
        <v>0.21604693117174084</v>
      </c>
      <c r="AH44" s="6">
        <f t="shared" si="41"/>
        <v>0.20987416170969109</v>
      </c>
      <c r="AI44" s="6">
        <f t="shared" si="41"/>
        <v>0.20387775708941422</v>
      </c>
      <c r="AJ44" s="6">
        <f t="shared" si="41"/>
        <v>0.19805267831543094</v>
      </c>
      <c r="AK44" s="6">
        <f t="shared" si="41"/>
        <v>0.19239403036356148</v>
      </c>
      <c r="AL44" s="6">
        <f t="shared" si="41"/>
        <v>0.18689705806745971</v>
      </c>
      <c r="AM44" s="6">
        <f t="shared" si="41"/>
        <v>0.18155714212267515</v>
      </c>
      <c r="AN44" s="6">
        <f t="shared" si="41"/>
        <v>0.17636979520488441</v>
      </c>
      <c r="AO44" s="6">
        <f t="shared" si="41"/>
        <v>0.17133065819903057</v>
      </c>
      <c r="AQ44" s="6" t="s">
        <v>59</v>
      </c>
      <c r="AR44" s="6">
        <v>-0.01</v>
      </c>
    </row>
    <row r="45" spans="2:142" s="6" customFormat="1" x14ac:dyDescent="0.2">
      <c r="B45" s="6" t="s">
        <v>58</v>
      </c>
      <c r="C45" s="6">
        <f t="shared" ref="C45:P45" si="42">+C35/C27</f>
        <v>-0.60867446393762181</v>
      </c>
      <c r="D45" s="6">
        <f t="shared" si="42"/>
        <v>-3.6427145708582832E-2</v>
      </c>
      <c r="E45" s="6">
        <f t="shared" si="42"/>
        <v>-9.1899978627911945E-3</v>
      </c>
      <c r="F45" s="6">
        <f t="shared" si="42"/>
        <v>3.9398138982379725E-2</v>
      </c>
      <c r="G45" s="6">
        <f t="shared" si="42"/>
        <v>-3.2168726033233917E-2</v>
      </c>
      <c r="H45" s="6">
        <f t="shared" si="42"/>
        <v>0.17211652794292509</v>
      </c>
      <c r="I45" s="6">
        <f t="shared" si="42"/>
        <v>6.3504823151125406E-2</v>
      </c>
      <c r="J45" s="6">
        <f t="shared" si="42"/>
        <v>-6.2378483473752432E-2</v>
      </c>
      <c r="K45" s="6">
        <f t="shared" si="42"/>
        <v>-4.9772169645986679E-2</v>
      </c>
      <c r="L45" s="6">
        <f t="shared" si="42"/>
        <v>0.11297427881199375</v>
      </c>
      <c r="M45" s="6">
        <f t="shared" si="42"/>
        <v>1.793103448275862E-2</v>
      </c>
      <c r="N45" s="6">
        <f t="shared" si="42"/>
        <v>-5.9211490546680345E-2</v>
      </c>
      <c r="O45" s="6">
        <f t="shared" si="42"/>
        <v>-6.2095117712118821E-2</v>
      </c>
      <c r="P45" s="6">
        <f t="shared" si="42"/>
        <v>5.4120206690236608E-2</v>
      </c>
      <c r="U45" s="6">
        <f t="shared" ref="U45:AD45" si="43">+U35/U27</f>
        <v>6.584251545283526E-2</v>
      </c>
      <c r="V45" s="6">
        <f t="shared" si="43"/>
        <v>0.20766902119071645</v>
      </c>
      <c r="W45" s="6">
        <f t="shared" si="43"/>
        <v>0.18408812729498164</v>
      </c>
      <c r="X45" s="6">
        <f t="shared" si="43"/>
        <v>0.16952434934580321</v>
      </c>
      <c r="Y45" s="6">
        <f t="shared" si="43"/>
        <v>0.14595948099248804</v>
      </c>
      <c r="Z45" s="6">
        <f t="shared" si="43"/>
        <v>0.13184412341715712</v>
      </c>
      <c r="AA45" s="6">
        <f t="shared" si="43"/>
        <v>-0.52862511052166228</v>
      </c>
      <c r="AB45" s="6">
        <f t="shared" si="43"/>
        <v>-7.8467384420519315E-2</v>
      </c>
      <c r="AC45" s="6">
        <f t="shared" si="43"/>
        <v>4.2705971277399848E-2</v>
      </c>
      <c r="AD45" s="6">
        <f t="shared" si="43"/>
        <v>8.5853359395960289E-3</v>
      </c>
      <c r="AQ45" s="6" t="s">
        <v>57</v>
      </c>
      <c r="AR45" s="6">
        <v>0.08</v>
      </c>
    </row>
    <row r="46" spans="2:142" s="6" customFormat="1" x14ac:dyDescent="0.2">
      <c r="B46" s="6" t="s">
        <v>56</v>
      </c>
      <c r="C46" s="6">
        <f t="shared" ref="C46:P46" si="44">+C39/C27</f>
        <v>-0.6778752436647173</v>
      </c>
      <c r="D46" s="6">
        <f t="shared" si="44"/>
        <v>-0.10329341317365269</v>
      </c>
      <c r="E46" s="6">
        <f t="shared" si="44"/>
        <v>-6.6253472964308613E-2</v>
      </c>
      <c r="F46" s="6">
        <f t="shared" si="44"/>
        <v>1.4650564244704019E-2</v>
      </c>
      <c r="G46" s="6">
        <f t="shared" si="44"/>
        <v>-3.0464422667234769E-2</v>
      </c>
      <c r="H46" s="6">
        <f t="shared" si="44"/>
        <v>0.12143281807372176</v>
      </c>
      <c r="I46" s="6">
        <f t="shared" si="44"/>
        <v>4.8713826366559486E-2</v>
      </c>
      <c r="J46" s="6">
        <f t="shared" si="44"/>
        <v>-4.4069993519118597E-2</v>
      </c>
      <c r="K46" s="6">
        <f t="shared" si="44"/>
        <v>-3.1370487206449353E-2</v>
      </c>
      <c r="L46" s="6">
        <f t="shared" si="44"/>
        <v>9.535313343754441E-2</v>
      </c>
      <c r="M46" s="6">
        <f t="shared" si="44"/>
        <v>2.5440613026819922E-2</v>
      </c>
      <c r="N46" s="6">
        <f t="shared" si="44"/>
        <v>-4.074454052469588E-2</v>
      </c>
      <c r="O46" s="6">
        <f t="shared" si="44"/>
        <v>-3.9500711012798229E-2</v>
      </c>
      <c r="P46" s="6">
        <f t="shared" si="44"/>
        <v>4.8137068262170249E-2</v>
      </c>
      <c r="U46" s="6">
        <f t="shared" ref="U46:AD46" si="45">+U39/U27</f>
        <v>2.2682074711099166E-2</v>
      </c>
      <c r="V46" s="6">
        <f t="shared" si="45"/>
        <v>0.13698284561049445</v>
      </c>
      <c r="W46" s="6">
        <f t="shared" si="45"/>
        <v>0.11549571603427172</v>
      </c>
      <c r="X46" s="6">
        <f t="shared" si="45"/>
        <v>0.17698738840867223</v>
      </c>
      <c r="Y46" s="6">
        <f t="shared" si="45"/>
        <v>0.11131345322103346</v>
      </c>
      <c r="Z46" s="6">
        <f t="shared" si="45"/>
        <v>0.10130194399857322</v>
      </c>
      <c r="AA46" s="6">
        <f t="shared" si="45"/>
        <v>-0.43302387267904507</v>
      </c>
      <c r="AB46" s="6">
        <f t="shared" si="45"/>
        <v>-0.12925902469917669</v>
      </c>
      <c r="AC46" s="6">
        <f t="shared" si="45"/>
        <v>2.9604434366339128E-2</v>
      </c>
      <c r="AD46" s="6">
        <f t="shared" si="45"/>
        <v>1.4564409183243265E-2</v>
      </c>
      <c r="AQ46" s="6" t="s">
        <v>55</v>
      </c>
      <c r="AR46" s="6">
        <v>0.02</v>
      </c>
    </row>
    <row r="47" spans="2:142" s="6" customFormat="1" x14ac:dyDescent="0.2">
      <c r="B47" s="6" t="s">
        <v>54</v>
      </c>
      <c r="C47" s="10" t="s">
        <v>53</v>
      </c>
      <c r="D47" s="10" t="s">
        <v>53</v>
      </c>
      <c r="E47" s="10" t="s">
        <v>53</v>
      </c>
      <c r="F47" s="6">
        <f>+F38/F37</f>
        <v>0.11904761904761904</v>
      </c>
      <c r="G47" s="6">
        <f>+G38/G37</f>
        <v>0.40663900414937759</v>
      </c>
      <c r="H47" s="6">
        <f>+H38/H37</f>
        <v>0.25251601097895698</v>
      </c>
      <c r="I47" s="6">
        <f>+I38/I37</f>
        <v>0.20052770448548812</v>
      </c>
      <c r="J47" s="10" t="s">
        <v>53</v>
      </c>
      <c r="K47" s="10" t="s">
        <v>53</v>
      </c>
      <c r="L47" s="6">
        <f>+L38/L37</f>
        <v>0.23226544622425629</v>
      </c>
      <c r="M47" s="6">
        <f>+M38/M37</f>
        <v>0.20952380952380953</v>
      </c>
      <c r="N47" s="10" t="s">
        <v>53</v>
      </c>
      <c r="O47" s="10" t="s">
        <v>53</v>
      </c>
      <c r="P47" s="6">
        <f>+P38/P37</f>
        <v>0.23870967741935484</v>
      </c>
      <c r="U47" s="6">
        <f>+U38/U37</f>
        <v>0.61705989110707804</v>
      </c>
      <c r="V47" s="6">
        <f>+V38/V37</f>
        <v>0.32429069188651072</v>
      </c>
      <c r="W47" s="6">
        <f>+W38/W37</f>
        <v>0.35581649371927909</v>
      </c>
      <c r="X47" s="10" t="s">
        <v>53</v>
      </c>
      <c r="Y47" s="6">
        <f t="shared" ref="Y47:AD47" si="46">+Y38/Y37</f>
        <v>0.22232824427480916</v>
      </c>
      <c r="Z47" s="6">
        <f t="shared" si="46"/>
        <v>0.22430863776032775</v>
      </c>
      <c r="AA47" s="6">
        <f t="shared" si="46"/>
        <v>0.23176470588235293</v>
      </c>
      <c r="AB47" s="6">
        <f t="shared" si="46"/>
        <v>-0.20555227406969875</v>
      </c>
      <c r="AC47" s="6">
        <f t="shared" si="46"/>
        <v>0.21140939597315436</v>
      </c>
      <c r="AD47" s="6">
        <f t="shared" si="46"/>
        <v>0.30656934306569344</v>
      </c>
      <c r="AQ47" s="6" t="s">
        <v>52</v>
      </c>
      <c r="AR47" s="2">
        <f>NPV(AR45,AE39:EL39)</f>
        <v>17004.395036130303</v>
      </c>
    </row>
    <row r="48" spans="2:142" s="6" customFormat="1" x14ac:dyDescent="0.2">
      <c r="AQ48" s="6" t="s">
        <v>46</v>
      </c>
      <c r="AR48" s="2">
        <f>+AD55</f>
        <v>2006</v>
      </c>
    </row>
    <row r="49" spans="2:44" s="8" customFormat="1" x14ac:dyDescent="0.2">
      <c r="B49" s="8" t="s">
        <v>51</v>
      </c>
      <c r="G49" s="8">
        <f t="shared" ref="G49:R49" si="47">+G27/C27-1</f>
        <v>1.2875243664717351</v>
      </c>
      <c r="H49" s="8">
        <f t="shared" si="47"/>
        <v>0.67864271457085823</v>
      </c>
      <c r="I49" s="8">
        <f t="shared" si="47"/>
        <v>0.32934387689677291</v>
      </c>
      <c r="J49" s="8">
        <f t="shared" si="47"/>
        <v>0.22193625024747576</v>
      </c>
      <c r="K49" s="8">
        <f t="shared" si="47"/>
        <v>0.21559437579889229</v>
      </c>
      <c r="L49" s="8">
        <f t="shared" si="47"/>
        <v>4.5927467300832303E-2</v>
      </c>
      <c r="M49" s="8">
        <f t="shared" si="47"/>
        <v>4.9035369774919513E-2</v>
      </c>
      <c r="N49" s="8">
        <f t="shared" si="47"/>
        <v>0.10547634478289036</v>
      </c>
      <c r="O49" s="8">
        <f t="shared" si="47"/>
        <v>0.1091833158079214</v>
      </c>
      <c r="P49" s="8">
        <f t="shared" si="47"/>
        <v>4.5047605513713229E-2</v>
      </c>
      <c r="Q49" s="8">
        <f t="shared" si="47"/>
        <v>5.0000000000000044E-2</v>
      </c>
      <c r="R49" s="8">
        <f t="shared" si="47"/>
        <v>5.0000000000000044E-2</v>
      </c>
      <c r="V49" s="8">
        <f t="shared" ref="V49:AO49" si="48">+V27/U27-1</f>
        <v>6.5305025530771221E-2</v>
      </c>
      <c r="W49" s="8">
        <f t="shared" si="48"/>
        <v>3.0524722502522694E-2</v>
      </c>
      <c r="X49" s="8">
        <f t="shared" si="48"/>
        <v>3.6523867809057586E-2</v>
      </c>
      <c r="Y49" s="8">
        <f t="shared" si="48"/>
        <v>3.7504133012139285E-2</v>
      </c>
      <c r="Z49" s="8">
        <f t="shared" si="48"/>
        <v>2.1078989301160922E-2</v>
      </c>
      <c r="AA49" s="8">
        <f t="shared" si="48"/>
        <v>-0.59657570893525946</v>
      </c>
      <c r="AB49" s="8">
        <f t="shared" si="48"/>
        <v>0.74513704686118487</v>
      </c>
      <c r="AC49" s="8">
        <f t="shared" si="48"/>
        <v>0.5081697276757442</v>
      </c>
      <c r="AD49" s="8">
        <f t="shared" si="48"/>
        <v>9.5616024187452853E-2</v>
      </c>
      <c r="AE49" s="8">
        <f t="shared" si="48"/>
        <v>6.1607450845118983E-2</v>
      </c>
      <c r="AF49" s="8">
        <f t="shared" si="48"/>
        <v>5.0000000000000044E-2</v>
      </c>
      <c r="AG49" s="8">
        <f t="shared" si="48"/>
        <v>5.0000000000000044E-2</v>
      </c>
      <c r="AH49" s="8">
        <f t="shared" si="48"/>
        <v>5.0000000000000044E-2</v>
      </c>
      <c r="AI49" s="8">
        <f t="shared" si="48"/>
        <v>5.0000000000000044E-2</v>
      </c>
      <c r="AJ49" s="8">
        <f t="shared" si="48"/>
        <v>5.0000000000000044E-2</v>
      </c>
      <c r="AK49" s="8">
        <f t="shared" si="48"/>
        <v>5.0000000000000044E-2</v>
      </c>
      <c r="AL49" s="8">
        <f t="shared" si="48"/>
        <v>5.0000000000000044E-2</v>
      </c>
      <c r="AM49" s="8">
        <f t="shared" si="48"/>
        <v>5.0000000000000044E-2</v>
      </c>
      <c r="AN49" s="8">
        <f t="shared" si="48"/>
        <v>5.0000000000000044E-2</v>
      </c>
      <c r="AO49" s="8">
        <f t="shared" si="48"/>
        <v>5.0000000000000044E-2</v>
      </c>
      <c r="AQ49" s="6" t="s">
        <v>50</v>
      </c>
      <c r="AR49" s="2">
        <f>+AR47-AR48</f>
        <v>14998.395036130303</v>
      </c>
    </row>
    <row r="50" spans="2:44" s="8" customFormat="1" x14ac:dyDescent="0.2">
      <c r="AQ50" s="2" t="s">
        <v>49</v>
      </c>
      <c r="AR50" s="9">
        <f>+AR49/'Main(LUV)'!N4</f>
        <v>25.032494922888159</v>
      </c>
    </row>
    <row r="51" spans="2:44" s="8" customFormat="1" x14ac:dyDescent="0.2">
      <c r="AQ51" s="2" t="s">
        <v>48</v>
      </c>
      <c r="AR51" s="9">
        <v>28.68</v>
      </c>
    </row>
    <row r="52" spans="2:44" s="8" customFormat="1" x14ac:dyDescent="0.2">
      <c r="AQ52" s="2" t="s">
        <v>47</v>
      </c>
      <c r="AR52" s="6">
        <f>+AR50/AR51-1</f>
        <v>-0.12717939599413675</v>
      </c>
    </row>
    <row r="53" spans="2:44" s="8" customFormat="1" x14ac:dyDescent="0.2"/>
    <row r="55" spans="2:44" x14ac:dyDescent="0.2">
      <c r="B55" s="2" t="s">
        <v>46</v>
      </c>
      <c r="K55" s="2">
        <f t="shared" ref="K55:P55" si="49">+K56-K70</f>
        <v>3643</v>
      </c>
      <c r="L55" s="2">
        <f t="shared" si="49"/>
        <v>4154</v>
      </c>
      <c r="M55" s="2">
        <f t="shared" si="49"/>
        <v>3719</v>
      </c>
      <c r="N55" s="2">
        <f t="shared" si="49"/>
        <v>3467</v>
      </c>
      <c r="O55" s="2">
        <f t="shared" si="49"/>
        <v>2510</v>
      </c>
      <c r="P55" s="2">
        <f t="shared" si="49"/>
        <v>2006</v>
      </c>
      <c r="AD55" s="2">
        <f>+P55</f>
        <v>2006</v>
      </c>
      <c r="AE55" s="2">
        <f>+AD55+AE39</f>
        <v>2532.860000000006</v>
      </c>
      <c r="AF55" s="2">
        <f>+AE55+AF39</f>
        <v>3183.0132500000072</v>
      </c>
      <c r="AG55" s="2">
        <f t="shared" ref="AG55:AO55" si="50">+AF55+AG39</f>
        <v>3961.0716852500082</v>
      </c>
      <c r="AH55" s="2">
        <f t="shared" si="50"/>
        <v>4871.5053261537632</v>
      </c>
      <c r="AI55" s="2">
        <f t="shared" si="50"/>
        <v>5918.6052655735184</v>
      </c>
      <c r="AJ55" s="2">
        <f t="shared" si="50"/>
        <v>7106.4428294682793</v>
      </c>
      <c r="AK55" s="2">
        <f t="shared" si="50"/>
        <v>8438.824596904642</v>
      </c>
      <c r="AL55" s="2">
        <f t="shared" si="50"/>
        <v>9919.2429423356898</v>
      </c>
      <c r="AM55" s="2">
        <f t="shared" si="50"/>
        <v>11550.821738293984</v>
      </c>
      <c r="AN55" s="2">
        <f t="shared" si="50"/>
        <v>13336.256830182007</v>
      </c>
      <c r="AO55" s="2">
        <f t="shared" si="50"/>
        <v>15277.750866553835</v>
      </c>
    </row>
    <row r="56" spans="2:44" x14ac:dyDescent="0.2">
      <c r="B56" s="2" t="s">
        <v>12</v>
      </c>
      <c r="K56" s="2">
        <f>8359+3315</f>
        <v>11674</v>
      </c>
      <c r="L56" s="2">
        <f>9158+3021</f>
        <v>12179</v>
      </c>
      <c r="M56" s="2">
        <f>9497+2236</f>
        <v>11733</v>
      </c>
      <c r="N56" s="2">
        <f>9288+2186</f>
        <v>11474</v>
      </c>
      <c r="O56" s="2">
        <f>8367+2145</f>
        <v>10512</v>
      </c>
      <c r="P56" s="2">
        <f>8142+1860</f>
        <v>10002</v>
      </c>
    </row>
    <row r="57" spans="2:44" x14ac:dyDescent="0.2">
      <c r="B57" s="2" t="s">
        <v>45</v>
      </c>
      <c r="K57" s="2">
        <v>1250</v>
      </c>
      <c r="L57" s="2">
        <v>1233</v>
      </c>
      <c r="M57" s="2">
        <v>1467</v>
      </c>
      <c r="N57" s="2">
        <v>1154</v>
      </c>
      <c r="O57" s="2">
        <v>1354</v>
      </c>
      <c r="P57" s="2">
        <v>1346</v>
      </c>
    </row>
    <row r="58" spans="2:44" x14ac:dyDescent="0.2">
      <c r="B58" s="2" t="s">
        <v>44</v>
      </c>
      <c r="K58" s="2">
        <v>736</v>
      </c>
      <c r="L58" s="2">
        <v>714</v>
      </c>
      <c r="M58" s="2">
        <v>799</v>
      </c>
      <c r="N58" s="2">
        <v>807</v>
      </c>
      <c r="O58" s="2">
        <v>812</v>
      </c>
      <c r="P58" s="2">
        <v>784</v>
      </c>
    </row>
    <row r="59" spans="2:44" x14ac:dyDescent="0.2">
      <c r="B59" s="2" t="s">
        <v>43</v>
      </c>
      <c r="K59" s="2">
        <v>614</v>
      </c>
      <c r="L59" s="2">
        <v>535</v>
      </c>
      <c r="M59" s="2">
        <v>632</v>
      </c>
      <c r="N59" s="2">
        <v>520</v>
      </c>
      <c r="O59" s="2">
        <v>603</v>
      </c>
      <c r="P59" s="2">
        <v>619</v>
      </c>
    </row>
    <row r="60" spans="2:44" x14ac:dyDescent="0.2">
      <c r="B60" s="2" t="s">
        <v>42</v>
      </c>
      <c r="K60" s="2">
        <v>31902</v>
      </c>
      <c r="L60" s="2">
        <v>32755</v>
      </c>
      <c r="M60" s="2">
        <v>33464</v>
      </c>
      <c r="N60" s="2">
        <v>33818</v>
      </c>
      <c r="O60" s="2">
        <v>34097</v>
      </c>
      <c r="P60" s="2">
        <f>26274+7704+466+77</f>
        <v>34521</v>
      </c>
    </row>
    <row r="61" spans="2:44" x14ac:dyDescent="0.2">
      <c r="B61" s="2" t="s">
        <v>41</v>
      </c>
      <c r="K61" s="2">
        <v>-13878</v>
      </c>
      <c r="L61" s="2">
        <v>-14159</v>
      </c>
      <c r="M61" s="2">
        <v>-14389</v>
      </c>
      <c r="N61" s="2">
        <v>-14443</v>
      </c>
      <c r="O61" s="2">
        <v>-14536</v>
      </c>
      <c r="P61" s="2">
        <v>-14856</v>
      </c>
    </row>
    <row r="62" spans="2:44" x14ac:dyDescent="0.2">
      <c r="B62" s="2" t="s">
        <v>40</v>
      </c>
      <c r="K62" s="2">
        <v>970</v>
      </c>
      <c r="L62" s="2">
        <v>970</v>
      </c>
      <c r="M62" s="2">
        <v>970</v>
      </c>
      <c r="N62" s="2">
        <v>970</v>
      </c>
      <c r="O62" s="2">
        <v>970</v>
      </c>
      <c r="P62" s="2">
        <v>970</v>
      </c>
    </row>
    <row r="63" spans="2:44" x14ac:dyDescent="0.2">
      <c r="B63" s="2" t="s">
        <v>36</v>
      </c>
      <c r="K63" s="2">
        <v>1380</v>
      </c>
      <c r="L63" s="2">
        <v>1335</v>
      </c>
      <c r="M63" s="2">
        <v>1288</v>
      </c>
      <c r="N63" s="2">
        <v>1223</v>
      </c>
      <c r="O63" s="2">
        <v>1182</v>
      </c>
      <c r="P63" s="2">
        <v>1132</v>
      </c>
    </row>
    <row r="64" spans="2:44" x14ac:dyDescent="0.2">
      <c r="B64" s="2" t="s">
        <v>33</v>
      </c>
      <c r="K64" s="2">
        <v>898</v>
      </c>
      <c r="L64" s="2">
        <v>957</v>
      </c>
      <c r="M64" s="2">
        <v>1016</v>
      </c>
      <c r="N64" s="2">
        <v>964</v>
      </c>
      <c r="O64" s="2">
        <v>1024</v>
      </c>
      <c r="P64" s="2">
        <v>1045</v>
      </c>
    </row>
    <row r="65" spans="2:20" s="7" customFormat="1" x14ac:dyDescent="0.2">
      <c r="B65" s="7" t="s">
        <v>39</v>
      </c>
      <c r="K65" s="7">
        <f t="shared" ref="K65:P65" si="51">+SUM(K56:K64)</f>
        <v>35546</v>
      </c>
      <c r="L65" s="7">
        <f t="shared" si="51"/>
        <v>36519</v>
      </c>
      <c r="M65" s="7">
        <f t="shared" si="51"/>
        <v>36980</v>
      </c>
      <c r="N65" s="7">
        <f t="shared" si="51"/>
        <v>36487</v>
      </c>
      <c r="O65" s="7">
        <f t="shared" si="51"/>
        <v>36018</v>
      </c>
      <c r="P65" s="7">
        <f t="shared" si="51"/>
        <v>35563</v>
      </c>
      <c r="T65" s="8"/>
    </row>
    <row r="66" spans="2:20" x14ac:dyDescent="0.2">
      <c r="B66" s="2" t="s">
        <v>38</v>
      </c>
      <c r="K66" s="2">
        <v>1729</v>
      </c>
      <c r="L66" s="2">
        <v>1882</v>
      </c>
      <c r="M66" s="2">
        <v>1736</v>
      </c>
      <c r="N66" s="2">
        <v>1862</v>
      </c>
      <c r="O66" s="2">
        <v>1949</v>
      </c>
      <c r="P66" s="2">
        <v>2028</v>
      </c>
    </row>
    <row r="67" spans="2:20" x14ac:dyDescent="0.2">
      <c r="B67" s="2" t="s">
        <v>37</v>
      </c>
      <c r="K67" s="2">
        <v>2118</v>
      </c>
      <c r="L67" s="2">
        <v>2468</v>
      </c>
      <c r="M67" s="2">
        <v>2880</v>
      </c>
      <c r="N67" s="2">
        <v>3563</v>
      </c>
      <c r="O67" s="2">
        <v>2400</v>
      </c>
      <c r="P67" s="2">
        <v>1870</v>
      </c>
    </row>
    <row r="68" spans="2:20" x14ac:dyDescent="0.2">
      <c r="B68" s="2" t="s">
        <v>36</v>
      </c>
      <c r="K68" s="2">
        <f>233+1112</f>
        <v>1345</v>
      </c>
      <c r="L68" s="2">
        <f>226+1077</f>
        <v>1303</v>
      </c>
      <c r="M68" s="2">
        <f>220+1039</f>
        <v>1259</v>
      </c>
      <c r="N68" s="2">
        <f>208+985</f>
        <v>1193</v>
      </c>
      <c r="O68" s="2">
        <f>206+953</f>
        <v>1159</v>
      </c>
      <c r="P68" s="2">
        <f>198+915</f>
        <v>1113</v>
      </c>
    </row>
    <row r="69" spans="2:20" x14ac:dyDescent="0.2">
      <c r="B69" s="2" t="s">
        <v>35</v>
      </c>
      <c r="K69" s="2">
        <f>7217+1980</f>
        <v>9197</v>
      </c>
      <c r="L69" s="2">
        <f>7121+1938</f>
        <v>9059</v>
      </c>
      <c r="M69" s="2">
        <f>7246+1754</f>
        <v>9000</v>
      </c>
      <c r="N69" s="2">
        <f>6551+1728</f>
        <v>8279</v>
      </c>
      <c r="O69" s="2">
        <f>7642+1752</f>
        <v>9394</v>
      </c>
      <c r="P69" s="2">
        <f>7086+1990</f>
        <v>9076</v>
      </c>
    </row>
    <row r="70" spans="2:20" x14ac:dyDescent="0.2">
      <c r="B70" s="2" t="s">
        <v>11</v>
      </c>
      <c r="K70" s="2">
        <f>32+7999</f>
        <v>8031</v>
      </c>
      <c r="L70" s="2">
        <f>31+7994</f>
        <v>8025</v>
      </c>
      <c r="M70" s="2">
        <f>30+7984</f>
        <v>8014</v>
      </c>
      <c r="N70" s="2">
        <f>29+7978</f>
        <v>8007</v>
      </c>
      <c r="O70" s="2">
        <f>28+7974</f>
        <v>8002</v>
      </c>
      <c r="P70" s="2">
        <f>2931+5065</f>
        <v>7996</v>
      </c>
    </row>
    <row r="71" spans="2:20" x14ac:dyDescent="0.2">
      <c r="B71" s="2" t="s">
        <v>34</v>
      </c>
      <c r="K71" s="2">
        <v>1888</v>
      </c>
      <c r="L71" s="2">
        <v>2057</v>
      </c>
      <c r="M71" s="2">
        <v>2157</v>
      </c>
      <c r="N71" s="2">
        <v>2053</v>
      </c>
      <c r="O71" s="2">
        <v>1981</v>
      </c>
      <c r="P71" s="2">
        <v>2089</v>
      </c>
    </row>
    <row r="72" spans="2:20" x14ac:dyDescent="0.2">
      <c r="B72" s="2" t="s">
        <v>33</v>
      </c>
      <c r="K72" s="2">
        <v>936</v>
      </c>
      <c r="L72" s="2">
        <v>936</v>
      </c>
      <c r="M72" s="2">
        <v>880</v>
      </c>
      <c r="N72" s="2">
        <v>981</v>
      </c>
      <c r="O72" s="2">
        <v>937</v>
      </c>
      <c r="P72" s="2">
        <v>926</v>
      </c>
    </row>
    <row r="73" spans="2:20" s="7" customFormat="1" x14ac:dyDescent="0.2">
      <c r="B73" s="7" t="s">
        <v>32</v>
      </c>
      <c r="K73" s="7">
        <f t="shared" ref="K73:P73" si="52">+SUM(K66:K72)</f>
        <v>25244</v>
      </c>
      <c r="L73" s="7">
        <f t="shared" si="52"/>
        <v>25730</v>
      </c>
      <c r="M73" s="7">
        <f t="shared" si="52"/>
        <v>25926</v>
      </c>
      <c r="N73" s="7">
        <f t="shared" si="52"/>
        <v>25938</v>
      </c>
      <c r="O73" s="7">
        <f t="shared" si="52"/>
        <v>25822</v>
      </c>
      <c r="P73" s="7">
        <f t="shared" si="52"/>
        <v>25098</v>
      </c>
      <c r="T73" s="8"/>
    </row>
    <row r="74" spans="2:20" x14ac:dyDescent="0.2">
      <c r="B74" s="2" t="s">
        <v>31</v>
      </c>
      <c r="K74" s="2">
        <f t="shared" ref="K74:P74" si="53">+K65-K73</f>
        <v>10302</v>
      </c>
      <c r="L74" s="2">
        <f t="shared" si="53"/>
        <v>10789</v>
      </c>
      <c r="M74" s="2">
        <f t="shared" si="53"/>
        <v>11054</v>
      </c>
      <c r="N74" s="2">
        <f t="shared" si="53"/>
        <v>10549</v>
      </c>
      <c r="O74" s="2">
        <f t="shared" si="53"/>
        <v>10196</v>
      </c>
      <c r="P74" s="2">
        <f t="shared" si="53"/>
        <v>10465</v>
      </c>
    </row>
    <row r="75" spans="2:20" x14ac:dyDescent="0.2">
      <c r="B75" s="2" t="s">
        <v>30</v>
      </c>
      <c r="K75" s="2">
        <f t="shared" ref="K75:P75" si="54">+K74+K73</f>
        <v>35546</v>
      </c>
      <c r="L75" s="2">
        <f t="shared" si="54"/>
        <v>36519</v>
      </c>
      <c r="M75" s="2">
        <f t="shared" si="54"/>
        <v>36980</v>
      </c>
      <c r="N75" s="2">
        <f t="shared" si="54"/>
        <v>36487</v>
      </c>
      <c r="O75" s="2">
        <f t="shared" si="54"/>
        <v>36018</v>
      </c>
      <c r="P75" s="2">
        <f t="shared" si="54"/>
        <v>35563</v>
      </c>
    </row>
    <row r="77" spans="2:20" x14ac:dyDescent="0.2">
      <c r="B77" s="2" t="s">
        <v>29</v>
      </c>
      <c r="J77" s="2">
        <f t="shared" ref="J77:P77" si="55">+SUM(G39:J39)</f>
        <v>705</v>
      </c>
      <c r="K77" s="2">
        <f t="shared" si="55"/>
        <v>669</v>
      </c>
      <c r="L77" s="2">
        <f t="shared" si="55"/>
        <v>523</v>
      </c>
      <c r="M77" s="2">
        <f t="shared" si="55"/>
        <v>386</v>
      </c>
      <c r="N77" s="2">
        <f t="shared" si="55"/>
        <v>380</v>
      </c>
      <c r="O77" s="2">
        <f t="shared" si="55"/>
        <v>309</v>
      </c>
      <c r="P77" s="2">
        <f t="shared" si="55"/>
        <v>-8</v>
      </c>
    </row>
    <row r="78" spans="2:20" s="6" customFormat="1" x14ac:dyDescent="0.2">
      <c r="B78" s="6" t="s">
        <v>28</v>
      </c>
      <c r="K78" s="6">
        <f t="shared" ref="K78:P78" si="56">+K77/(K57+K58+K59+K60+K61+K63+K64)</f>
        <v>2.9211422583180508E-2</v>
      </c>
      <c r="L78" s="6">
        <f t="shared" si="56"/>
        <v>2.2379118528027386E-2</v>
      </c>
      <c r="M78" s="6">
        <f t="shared" si="56"/>
        <v>1.5899822877620793E-2</v>
      </c>
      <c r="N78" s="6">
        <f t="shared" si="56"/>
        <v>1.580501601297675E-2</v>
      </c>
      <c r="O78" s="6">
        <f t="shared" si="56"/>
        <v>1.259373981089012E-2</v>
      </c>
      <c r="P78" s="6">
        <f t="shared" si="56"/>
        <v>-3.2532227237607256E-4</v>
      </c>
    </row>
    <row r="80" spans="2:20" x14ac:dyDescent="0.2">
      <c r="B80" s="2" t="s">
        <v>27</v>
      </c>
      <c r="K80" s="2">
        <v>706</v>
      </c>
      <c r="L80" s="2">
        <v>1416</v>
      </c>
      <c r="M80" s="2">
        <v>616</v>
      </c>
      <c r="N80" s="2">
        <v>425</v>
      </c>
      <c r="O80" s="2">
        <v>-104</v>
      </c>
      <c r="P80" s="2">
        <v>-23</v>
      </c>
    </row>
    <row r="81" spans="2:20" x14ac:dyDescent="0.2">
      <c r="B81" s="2" t="s">
        <v>26</v>
      </c>
      <c r="K81" s="2">
        <v>1046</v>
      </c>
      <c r="L81" s="2">
        <v>925</v>
      </c>
      <c r="M81" s="2">
        <v>842</v>
      </c>
      <c r="N81" s="2">
        <v>707</v>
      </c>
      <c r="O81" s="2">
        <v>583</v>
      </c>
      <c r="P81" s="2">
        <v>494</v>
      </c>
    </row>
    <row r="83" spans="2:20" x14ac:dyDescent="0.2">
      <c r="B83" s="2" t="s">
        <v>25</v>
      </c>
      <c r="K83" s="2">
        <f t="shared" ref="K83:P83" si="57">+K80-K81</f>
        <v>-340</v>
      </c>
      <c r="L83" s="2">
        <f t="shared" si="57"/>
        <v>491</v>
      </c>
      <c r="M83" s="2">
        <f t="shared" si="57"/>
        <v>-226</v>
      </c>
      <c r="N83" s="2">
        <f t="shared" si="57"/>
        <v>-282</v>
      </c>
      <c r="O83" s="2">
        <f t="shared" si="57"/>
        <v>-687</v>
      </c>
      <c r="P83" s="2">
        <f t="shared" si="57"/>
        <v>-517</v>
      </c>
    </row>
    <row r="84" spans="2:20" x14ac:dyDescent="0.2">
      <c r="B84" s="2" t="s">
        <v>24</v>
      </c>
      <c r="N84" s="2">
        <f>+SUM(K83:N83)</f>
        <v>-357</v>
      </c>
      <c r="O84" s="2">
        <f>+SUM(L83:O83)</f>
        <v>-704</v>
      </c>
      <c r="P84" s="2">
        <f>+SUM(M83:P83)</f>
        <v>-1712</v>
      </c>
    </row>
    <row r="86" spans="2:20" x14ac:dyDescent="0.2">
      <c r="B86" s="2" t="s">
        <v>23</v>
      </c>
    </row>
    <row r="87" spans="2:20" x14ac:dyDescent="0.2">
      <c r="B87" s="2" t="s">
        <v>22</v>
      </c>
    </row>
    <row r="89" spans="2:20" s="7" customFormat="1" x14ac:dyDescent="0.2">
      <c r="B89" s="7" t="s">
        <v>21</v>
      </c>
      <c r="J89" s="7">
        <v>66656</v>
      </c>
      <c r="K89" s="7">
        <v>69868</v>
      </c>
      <c r="L89" s="7">
        <v>71299</v>
      </c>
      <c r="N89" s="7">
        <v>74806</v>
      </c>
      <c r="O89" s="7">
        <v>74695</v>
      </c>
      <c r="P89" s="7">
        <v>74081</v>
      </c>
      <c r="T89" s="8"/>
    </row>
    <row r="91" spans="2:20" x14ac:dyDescent="0.2">
      <c r="B91" s="2" t="s">
        <v>20</v>
      </c>
      <c r="J91" s="2">
        <v>770</v>
      </c>
      <c r="K91" s="2">
        <v>793</v>
      </c>
      <c r="L91" s="2">
        <v>803</v>
      </c>
      <c r="N91" s="2">
        <v>817</v>
      </c>
      <c r="O91" s="2">
        <v>819</v>
      </c>
      <c r="P91" s="2">
        <v>817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Main(LUV)</vt:lpstr>
      <vt:lpstr>Model(LUV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2024-09-22T08:47:14Z</dcterms:created>
  <dcterms:modified xsi:type="dcterms:W3CDTF">2024-11-09T19:31:13Z</dcterms:modified>
</cp:coreProperties>
</file>