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Software\Fintech\"/>
    </mc:Choice>
  </mc:AlternateContent>
  <xr:revisionPtr revIDLastSave="0" documentId="13_ncr:1_{15844F94-D1BF-4FB0-ABC7-7533B2755604}" xr6:coauthVersionLast="47" xr6:coauthVersionMax="47" xr10:uidLastSave="{00000000-0000-0000-0000-000000000000}"/>
  <bookViews>
    <workbookView xWindow="14460" yWindow="45" windowWidth="14235" windowHeight="15495" xr2:uid="{ACEA2DD1-9090-47F0-94A4-0B33FB9FE19A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0" i="2" l="1"/>
  <c r="U69" i="2"/>
  <c r="T15" i="2"/>
  <c r="T14" i="2"/>
  <c r="T13" i="2"/>
  <c r="T12" i="2"/>
  <c r="T11" i="2"/>
  <c r="U15" i="2"/>
  <c r="U14" i="2"/>
  <c r="U13" i="2"/>
  <c r="U12" i="2"/>
  <c r="U11" i="2"/>
  <c r="T16" i="2" l="1"/>
  <c r="T4" i="2" s="1"/>
  <c r="T9" i="2" s="1"/>
  <c r="U16" i="2"/>
  <c r="U4" i="2" s="1"/>
  <c r="F29" i="2" l="1"/>
  <c r="F26" i="2"/>
  <c r="F23" i="2"/>
  <c r="F20" i="2"/>
  <c r="F19" i="2"/>
  <c r="F18" i="2"/>
  <c r="J29" i="2"/>
  <c r="J26" i="2"/>
  <c r="J23" i="2"/>
  <c r="J20" i="2"/>
  <c r="J19" i="2"/>
  <c r="J18" i="2"/>
  <c r="I21" i="2"/>
  <c r="J35" i="2" l="1"/>
  <c r="J21" i="2"/>
  <c r="J22" i="2" s="1"/>
  <c r="J25" i="2" s="1"/>
  <c r="F21" i="2"/>
  <c r="F22" i="2" s="1"/>
  <c r="F25" i="2" s="1"/>
  <c r="F27" i="2" s="1"/>
  <c r="E21" i="2"/>
  <c r="E22" i="2" s="1"/>
  <c r="I22" i="2"/>
  <c r="H39" i="2"/>
  <c r="D39" i="2"/>
  <c r="D38" i="2"/>
  <c r="H38" i="2"/>
  <c r="D21" i="2"/>
  <c r="D22" i="2" s="1"/>
  <c r="H21" i="2"/>
  <c r="H22" i="2" s="1"/>
  <c r="I35" i="2"/>
  <c r="H35" i="2"/>
  <c r="G40" i="2"/>
  <c r="C40" i="2"/>
  <c r="C21" i="2"/>
  <c r="C22" i="2" s="1"/>
  <c r="G35" i="2"/>
  <c r="G21" i="2"/>
  <c r="F31" i="2" l="1"/>
  <c r="J31" i="2"/>
  <c r="E38" i="2"/>
  <c r="I39" i="2"/>
  <c r="J39" i="2" s="1"/>
  <c r="E39" i="2"/>
  <c r="F39" i="2" s="1"/>
  <c r="H40" i="2"/>
  <c r="I38" i="2"/>
  <c r="J33" i="2"/>
  <c r="J27" i="2"/>
  <c r="F32" i="2"/>
  <c r="F28" i="2"/>
  <c r="F33" i="2"/>
  <c r="E31" i="2"/>
  <c r="E25" i="2"/>
  <c r="I31" i="2"/>
  <c r="I25" i="2"/>
  <c r="D40" i="2"/>
  <c r="D31" i="2"/>
  <c r="D25" i="2"/>
  <c r="H25" i="2"/>
  <c r="H31" i="2"/>
  <c r="C31" i="2"/>
  <c r="C25" i="2"/>
  <c r="G22" i="2"/>
  <c r="T108" i="2"/>
  <c r="U104" i="2"/>
  <c r="U108" i="2" s="1"/>
  <c r="T97" i="2"/>
  <c r="T94" i="2"/>
  <c r="U97" i="2"/>
  <c r="U94" i="2"/>
  <c r="T91" i="2"/>
  <c r="T92" i="2" s="1"/>
  <c r="U91" i="2"/>
  <c r="U92" i="2" s="1"/>
  <c r="U112" i="2" s="1"/>
  <c r="I40" i="2" l="1"/>
  <c r="J32" i="2"/>
  <c r="J28" i="2"/>
  <c r="E40" i="2"/>
  <c r="J38" i="2"/>
  <c r="J40" i="2" s="1"/>
  <c r="F38" i="2"/>
  <c r="F40" i="2" s="1"/>
  <c r="E33" i="2"/>
  <c r="E27" i="2"/>
  <c r="I33" i="2"/>
  <c r="I27" i="2"/>
  <c r="D33" i="2"/>
  <c r="D27" i="2"/>
  <c r="H33" i="2"/>
  <c r="H27" i="2"/>
  <c r="C27" i="2"/>
  <c r="C33" i="2"/>
  <c r="T100" i="2"/>
  <c r="T110" i="2" s="1"/>
  <c r="U100" i="2"/>
  <c r="U110" i="2" s="1"/>
  <c r="T112" i="2"/>
  <c r="G25" i="2"/>
  <c r="G31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V18" i="2"/>
  <c r="V23" i="2" s="1"/>
  <c r="V19" i="2"/>
  <c r="W19" i="2" s="1"/>
  <c r="V20" i="2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P21" i="2"/>
  <c r="P22" i="2" s="1"/>
  <c r="Q21" i="2"/>
  <c r="Q22" i="2" s="1"/>
  <c r="R21" i="2"/>
  <c r="R22" i="2" s="1"/>
  <c r="S21" i="2"/>
  <c r="S22" i="2" s="1"/>
  <c r="T21" i="2"/>
  <c r="T22" i="2" s="1"/>
  <c r="U21" i="2"/>
  <c r="U22" i="2" s="1"/>
  <c r="P23" i="2"/>
  <c r="V29" i="2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Q35" i="2"/>
  <c r="R35" i="2"/>
  <c r="S35" i="2"/>
  <c r="T35" i="2"/>
  <c r="U35" i="2"/>
  <c r="P40" i="2"/>
  <c r="Q40" i="2"/>
  <c r="R40" i="2"/>
  <c r="S40" i="2"/>
  <c r="T40" i="2"/>
  <c r="U40" i="2"/>
  <c r="U44" i="2"/>
  <c r="V24" i="2" s="1"/>
  <c r="U52" i="2"/>
  <c r="U61" i="2"/>
  <c r="U65" i="2" s="1"/>
  <c r="U67" i="2" s="1"/>
  <c r="L7" i="1"/>
  <c r="L6" i="1"/>
  <c r="L4" i="1"/>
  <c r="L5" i="1" s="1"/>
  <c r="L8" i="1" s="1"/>
  <c r="E32" i="2" l="1"/>
  <c r="E28" i="2"/>
  <c r="I32" i="2"/>
  <c r="I28" i="2"/>
  <c r="D32" i="2"/>
  <c r="D28" i="2"/>
  <c r="H32" i="2"/>
  <c r="H28" i="2"/>
  <c r="C28" i="2"/>
  <c r="C32" i="2"/>
  <c r="V21" i="2"/>
  <c r="V22" i="2" s="1"/>
  <c r="V25" i="2" s="1"/>
  <c r="U43" i="2"/>
  <c r="G33" i="2"/>
  <c r="G27" i="2"/>
  <c r="L10" i="1"/>
  <c r="W18" i="2"/>
  <c r="U54" i="2"/>
  <c r="T25" i="2"/>
  <c r="T31" i="2"/>
  <c r="R25" i="2"/>
  <c r="R31" i="2"/>
  <c r="U31" i="2"/>
  <c r="U25" i="2"/>
  <c r="P31" i="2"/>
  <c r="P25" i="2"/>
  <c r="P27" i="2" s="1"/>
  <c r="Q25" i="2"/>
  <c r="Q31" i="2"/>
  <c r="W21" i="2"/>
  <c r="X19" i="2"/>
  <c r="S25" i="2"/>
  <c r="S31" i="2"/>
  <c r="V35" i="2"/>
  <c r="W35" i="2" l="1"/>
  <c r="W23" i="2"/>
  <c r="W22" i="2"/>
  <c r="X18" i="2"/>
  <c r="X23" i="2" s="1"/>
  <c r="G32" i="2"/>
  <c r="G28" i="2"/>
  <c r="S33" i="2"/>
  <c r="S27" i="2"/>
  <c r="S32" i="2" s="1"/>
  <c r="R33" i="2"/>
  <c r="R27" i="2"/>
  <c r="R32" i="2" s="1"/>
  <c r="T33" i="2"/>
  <c r="T27" i="2"/>
  <c r="P33" i="2"/>
  <c r="P32" i="2"/>
  <c r="X21" i="2"/>
  <c r="Y19" i="2"/>
  <c r="Q33" i="2"/>
  <c r="Q27" i="2"/>
  <c r="Q32" i="2" s="1"/>
  <c r="U33" i="2"/>
  <c r="U27" i="2"/>
  <c r="V31" i="2"/>
  <c r="X22" i="2" l="1"/>
  <c r="X31" i="2" s="1"/>
  <c r="W31" i="2"/>
  <c r="Y18" i="2"/>
  <c r="Z18" i="2" s="1"/>
  <c r="X35" i="2"/>
  <c r="U72" i="2"/>
  <c r="U32" i="2"/>
  <c r="T72" i="2"/>
  <c r="T32" i="2"/>
  <c r="P28" i="2"/>
  <c r="T28" i="2"/>
  <c r="V26" i="2"/>
  <c r="V33" i="2" s="1"/>
  <c r="U28" i="2"/>
  <c r="Q28" i="2"/>
  <c r="R28" i="2"/>
  <c r="Y21" i="2"/>
  <c r="Z19" i="2"/>
  <c r="S28" i="2"/>
  <c r="Y22" i="2" l="1"/>
  <c r="Y31" i="2" s="1"/>
  <c r="Y35" i="2"/>
  <c r="Y23" i="2"/>
  <c r="V27" i="2"/>
  <c r="Z21" i="2"/>
  <c r="Z22" i="2" s="1"/>
  <c r="AA19" i="2"/>
  <c r="AA18" i="2"/>
  <c r="Z23" i="2"/>
  <c r="Z35" i="2"/>
  <c r="V32" i="2" l="1"/>
  <c r="V28" i="2"/>
  <c r="V43" i="2"/>
  <c r="W24" i="2" s="1"/>
  <c r="W25" i="2" s="1"/>
  <c r="Z31" i="2"/>
  <c r="AB18" i="2"/>
  <c r="AA23" i="2"/>
  <c r="AA35" i="2"/>
  <c r="AA21" i="2"/>
  <c r="AA22" i="2" s="1"/>
  <c r="AB19" i="2"/>
  <c r="AA31" i="2" l="1"/>
  <c r="AB35" i="2"/>
  <c r="AC18" i="2"/>
  <c r="AB23" i="2"/>
  <c r="AB21" i="2"/>
  <c r="AB22" i="2" s="1"/>
  <c r="AC19" i="2"/>
  <c r="W26" i="2"/>
  <c r="W33" i="2" s="1"/>
  <c r="W27" i="2" l="1"/>
  <c r="AB31" i="2"/>
  <c r="AD19" i="2"/>
  <c r="AC21" i="2"/>
  <c r="AC22" i="2" s="1"/>
  <c r="AC23" i="2"/>
  <c r="AD18" i="2"/>
  <c r="AC35" i="2"/>
  <c r="W32" i="2" l="1"/>
  <c r="W43" i="2"/>
  <c r="X24" i="2" s="1"/>
  <c r="X25" i="2" s="1"/>
  <c r="W28" i="2"/>
  <c r="AD21" i="2"/>
  <c r="AD22" i="2" s="1"/>
  <c r="AE19" i="2"/>
  <c r="AE18" i="2"/>
  <c r="AD23" i="2"/>
  <c r="AD35" i="2"/>
  <c r="AC31" i="2"/>
  <c r="X26" i="2" l="1"/>
  <c r="X33" i="2" s="1"/>
  <c r="AD31" i="2"/>
  <c r="AE23" i="2"/>
  <c r="AE35" i="2"/>
  <c r="AF18" i="2"/>
  <c r="AE21" i="2"/>
  <c r="AE22" i="2" s="1"/>
  <c r="AF19" i="2"/>
  <c r="AE31" i="2" l="1"/>
  <c r="AG19" i="2"/>
  <c r="AF21" i="2"/>
  <c r="AF22" i="2" s="1"/>
  <c r="AF23" i="2"/>
  <c r="AF35" i="2"/>
  <c r="AG18" i="2"/>
  <c r="X27" i="2"/>
  <c r="X32" i="2" l="1"/>
  <c r="AG23" i="2"/>
  <c r="AG35" i="2"/>
  <c r="AH18" i="2"/>
  <c r="X28" i="2"/>
  <c r="X43" i="2"/>
  <c r="Y24" i="2" s="1"/>
  <c r="Y25" i="2" s="1"/>
  <c r="AF31" i="2"/>
  <c r="AH19" i="2"/>
  <c r="AG21" i="2"/>
  <c r="AG22" i="2" s="1"/>
  <c r="AG31" i="2" l="1"/>
  <c r="AI19" i="2"/>
  <c r="AH21" i="2"/>
  <c r="AH22" i="2" s="1"/>
  <c r="AH23" i="2"/>
  <c r="AH35" i="2"/>
  <c r="AI18" i="2"/>
  <c r="Y26" i="2" l="1"/>
  <c r="Y33" i="2" s="1"/>
  <c r="AI23" i="2"/>
  <c r="AI35" i="2"/>
  <c r="AJ18" i="2"/>
  <c r="AI21" i="2"/>
  <c r="AI22" i="2" s="1"/>
  <c r="AJ19" i="2"/>
  <c r="AH31" i="2"/>
  <c r="Y27" i="2" l="1"/>
  <c r="AI31" i="2"/>
  <c r="AJ21" i="2"/>
  <c r="AK19" i="2"/>
  <c r="AK21" i="2" s="1"/>
  <c r="AK18" i="2"/>
  <c r="AJ23" i="2"/>
  <c r="AJ35" i="2"/>
  <c r="AJ22" i="2"/>
  <c r="Y43" i="2" l="1"/>
  <c r="Z24" i="2" s="1"/>
  <c r="Z25" i="2" s="1"/>
  <c r="Y28" i="2"/>
  <c r="Y32" i="2"/>
  <c r="AK22" i="2"/>
  <c r="AK23" i="2"/>
  <c r="AK35" i="2"/>
  <c r="AJ31" i="2"/>
  <c r="Z26" i="2" l="1"/>
  <c r="Z33" i="2" s="1"/>
  <c r="AK31" i="2"/>
  <c r="Z27" i="2" l="1"/>
  <c r="Z32" i="2" l="1"/>
  <c r="Z43" i="2"/>
  <c r="AA24" i="2" s="1"/>
  <c r="AA25" i="2" s="1"/>
  <c r="Z28" i="2"/>
  <c r="AA26" i="2" l="1"/>
  <c r="AA33" i="2" s="1"/>
  <c r="AA27" i="2" l="1"/>
  <c r="AA32" i="2" s="1"/>
  <c r="AA28" i="2" l="1"/>
  <c r="AA43" i="2"/>
  <c r="AB24" i="2" s="1"/>
  <c r="AB25" i="2" s="1"/>
  <c r="AB26" i="2" l="1"/>
  <c r="AB33" i="2" s="1"/>
  <c r="AB27" i="2" l="1"/>
  <c r="AB32" i="2" s="1"/>
  <c r="AB28" i="2" l="1"/>
  <c r="AB43" i="2"/>
  <c r="AC24" i="2" s="1"/>
  <c r="AC25" i="2" s="1"/>
  <c r="AC26" i="2" l="1"/>
  <c r="AC33" i="2" s="1"/>
  <c r="AC27" i="2" l="1"/>
  <c r="AC32" i="2" s="1"/>
  <c r="AC28" i="2" l="1"/>
  <c r="AC43" i="2"/>
  <c r="AD24" i="2" s="1"/>
  <c r="AD25" i="2" s="1"/>
  <c r="AD26" i="2" l="1"/>
  <c r="AD33" i="2" s="1"/>
  <c r="AD27" i="2" l="1"/>
  <c r="AD32" i="2" s="1"/>
  <c r="AD28" i="2" l="1"/>
  <c r="AD43" i="2"/>
  <c r="AE24" i="2" s="1"/>
  <c r="AE25" i="2" s="1"/>
  <c r="AE26" i="2" l="1"/>
  <c r="AE33" i="2" s="1"/>
  <c r="AE27" i="2" l="1"/>
  <c r="AE32" i="2" s="1"/>
  <c r="AE28" i="2" l="1"/>
  <c r="AE43" i="2"/>
  <c r="AF24" i="2" s="1"/>
  <c r="AF25" i="2" s="1"/>
  <c r="AF26" i="2" l="1"/>
  <c r="AF33" i="2" s="1"/>
  <c r="AF27" i="2" l="1"/>
  <c r="AF32" i="2" s="1"/>
  <c r="AF28" i="2" l="1"/>
  <c r="AF43" i="2"/>
  <c r="AG24" i="2" s="1"/>
  <c r="AG25" i="2" s="1"/>
  <c r="AG26" i="2" l="1"/>
  <c r="AG33" i="2" s="1"/>
  <c r="AG27" i="2" l="1"/>
  <c r="AG32" i="2" s="1"/>
  <c r="AG28" i="2" l="1"/>
  <c r="AG43" i="2"/>
  <c r="AH24" i="2" s="1"/>
  <c r="AH25" i="2" s="1"/>
  <c r="AH26" i="2" l="1"/>
  <c r="AH33" i="2" s="1"/>
  <c r="AH27" i="2" l="1"/>
  <c r="AH28" i="2" l="1"/>
  <c r="AH32" i="2"/>
  <c r="AH43" i="2"/>
  <c r="AI24" i="2" l="1"/>
  <c r="AI25" i="2" s="1"/>
  <c r="AI26" i="2" s="1"/>
  <c r="AI33" i="2" l="1"/>
  <c r="AI27" i="2"/>
  <c r="AI32" i="2" s="1"/>
  <c r="AI43" i="2"/>
  <c r="AJ24" i="2" s="1"/>
  <c r="AJ25" i="2" s="1"/>
  <c r="AI28" i="2" l="1"/>
  <c r="AJ26" i="2"/>
  <c r="AJ33" i="2" s="1"/>
  <c r="AJ27" i="2" l="1"/>
  <c r="AJ32" i="2" s="1"/>
  <c r="AJ28" i="2" l="1"/>
  <c r="AJ43" i="2"/>
  <c r="AK24" i="2" s="1"/>
  <c r="AK25" i="2" s="1"/>
  <c r="AK26" i="2" l="1"/>
  <c r="AK33" i="2" s="1"/>
  <c r="AK27" i="2" l="1"/>
  <c r="AK32" i="2" s="1"/>
  <c r="AK43" i="2" l="1"/>
  <c r="AL27" i="2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AN38" i="2" s="1"/>
  <c r="AN39" i="2" s="1"/>
  <c r="AN40" i="2" s="1"/>
  <c r="AK28" i="2"/>
</calcChain>
</file>

<file path=xl/sharedStrings.xml><?xml version="1.0" encoding="utf-8"?>
<sst xmlns="http://schemas.openxmlformats.org/spreadsheetml/2006/main" count="124" uniqueCount="100">
  <si>
    <t>Mastercard</t>
  </si>
  <si>
    <t>Price</t>
  </si>
  <si>
    <t>Shares</t>
  </si>
  <si>
    <t>MC</t>
  </si>
  <si>
    <t>Cash</t>
  </si>
  <si>
    <t>Debt</t>
  </si>
  <si>
    <t>EV</t>
  </si>
  <si>
    <t>FCF</t>
  </si>
  <si>
    <t>L+S/E</t>
  </si>
  <si>
    <t>S/E</t>
  </si>
  <si>
    <t>Liabilties</t>
  </si>
  <si>
    <t>Other</t>
  </si>
  <si>
    <t>D/T</t>
  </si>
  <si>
    <t>Accrued expense</t>
  </si>
  <si>
    <t>Accrued litigation</t>
  </si>
  <si>
    <t>Deposits</t>
  </si>
  <si>
    <t>Settlement</t>
  </si>
  <si>
    <t>A/P</t>
  </si>
  <si>
    <t>Assets</t>
  </si>
  <si>
    <t>Goodwill</t>
  </si>
  <si>
    <t>PP&amp;E</t>
  </si>
  <si>
    <t>Prepaid</t>
  </si>
  <si>
    <t>A/R</t>
  </si>
  <si>
    <t>Restricted Cash</t>
  </si>
  <si>
    <t>Net cash</t>
  </si>
  <si>
    <t>CapEx</t>
  </si>
  <si>
    <t>NPV</t>
  </si>
  <si>
    <t>CFFO</t>
  </si>
  <si>
    <t>Discount</t>
  </si>
  <si>
    <t>Terminal</t>
  </si>
  <si>
    <t>Revenue y/y</t>
  </si>
  <si>
    <t>Tax rate</t>
  </si>
  <si>
    <t>Net income margin</t>
  </si>
  <si>
    <t>Operating margin</t>
  </si>
  <si>
    <t>EPS</t>
  </si>
  <si>
    <t>Net Income</t>
  </si>
  <si>
    <t>Taxes</t>
  </si>
  <si>
    <t>Pretax</t>
  </si>
  <si>
    <t>Interest Expense</t>
  </si>
  <si>
    <t>Operating Income</t>
  </si>
  <si>
    <t>Operating Expense</t>
  </si>
  <si>
    <t>D&amp;A</t>
  </si>
  <si>
    <t>S&amp;M</t>
  </si>
  <si>
    <t>G&amp;A</t>
  </si>
  <si>
    <t>Revenue</t>
  </si>
  <si>
    <t>Q424</t>
  </si>
  <si>
    <t>Q324</t>
  </si>
  <si>
    <t>Q224</t>
  </si>
  <si>
    <t>Q124</t>
  </si>
  <si>
    <t>Q423</t>
  </si>
  <si>
    <t>Q323</t>
  </si>
  <si>
    <t>Q223</t>
  </si>
  <si>
    <t>Q123</t>
  </si>
  <si>
    <t>Model NI</t>
  </si>
  <si>
    <t>Reported NI</t>
  </si>
  <si>
    <t>Incentives</t>
  </si>
  <si>
    <t>Equity</t>
  </si>
  <si>
    <t>SBC</t>
  </si>
  <si>
    <t>DT</t>
  </si>
  <si>
    <t>AR</t>
  </si>
  <si>
    <t>Ligation and legal</t>
  </si>
  <si>
    <t>Desposits</t>
  </si>
  <si>
    <t>AP</t>
  </si>
  <si>
    <t>Settlement liabilties</t>
  </si>
  <si>
    <t>Settlement assets</t>
  </si>
  <si>
    <t>Accrued expenses</t>
  </si>
  <si>
    <t>Tax payable</t>
  </si>
  <si>
    <t>Tax recievable</t>
  </si>
  <si>
    <t>WC</t>
  </si>
  <si>
    <t>Securities</t>
  </si>
  <si>
    <t>Capitalized software</t>
  </si>
  <si>
    <t>Acquisition</t>
  </si>
  <si>
    <t>CFFI</t>
  </si>
  <si>
    <t>Buybacks</t>
  </si>
  <si>
    <t>Dividends</t>
  </si>
  <si>
    <t>ESOP</t>
  </si>
  <si>
    <t>WHT SBC</t>
  </si>
  <si>
    <t>CFFF</t>
  </si>
  <si>
    <t>FX</t>
  </si>
  <si>
    <t>CIC</t>
  </si>
  <si>
    <t>Q125</t>
  </si>
  <si>
    <t>Q225</t>
  </si>
  <si>
    <t>Q325</t>
  </si>
  <si>
    <t>Q425</t>
  </si>
  <si>
    <t>Upside</t>
  </si>
  <si>
    <t>Investments</t>
  </si>
  <si>
    <t>Total TPV</t>
  </si>
  <si>
    <t>EU TPV</t>
  </si>
  <si>
    <t>LAC TPV</t>
  </si>
  <si>
    <t>Canada TPV</t>
  </si>
  <si>
    <t>APMEA TPV</t>
  </si>
  <si>
    <t>US TPV</t>
  </si>
  <si>
    <t>VISA TPV</t>
  </si>
  <si>
    <t>Mastercard TPV</t>
  </si>
  <si>
    <t>American Express TPV</t>
  </si>
  <si>
    <t>PayPal TPV</t>
  </si>
  <si>
    <t>JCB TPV</t>
  </si>
  <si>
    <t>Diners Club/Discover TPV</t>
  </si>
  <si>
    <t>TTM NI</t>
  </si>
  <si>
    <t>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</si>
</sst>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21</xdr:col>
      <xdr:colOff>28575</xdr:colOff>
      <xdr:row>122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F913A69-20FE-46EA-AB61-A437BAAB7315}"/>
            </a:ext>
          </a:extLst>
        </xdr:cNvPr>
        <xdr:cNvCxnSpPr/>
      </xdr:nvCxnSpPr>
      <xdr:spPr>
        <a:xfrm>
          <a:off x="11172825" y="0"/>
          <a:ext cx="0" cy="1767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0</xdr:row>
      <xdr:rowOff>0</xdr:rowOff>
    </xdr:from>
    <xdr:to>
      <xdr:col>10</xdr:col>
      <xdr:colOff>38100</xdr:colOff>
      <xdr:row>121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A6583E-FE8C-4387-AB29-22DF0067426F}"/>
            </a:ext>
          </a:extLst>
        </xdr:cNvPr>
        <xdr:cNvCxnSpPr/>
      </xdr:nvCxnSpPr>
      <xdr:spPr>
        <a:xfrm>
          <a:off x="6305550" y="0"/>
          <a:ext cx="0" cy="17487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17C0-E241-4793-A87D-4A2C4206707C}">
  <dimension ref="K2:M10"/>
  <sheetViews>
    <sheetView tabSelected="1" workbookViewId="0">
      <selection activeCell="G16" sqref="G16"/>
    </sheetView>
  </sheetViews>
  <sheetFormatPr defaultRowHeight="12.75" x14ac:dyDescent="0.2"/>
  <cols>
    <col min="1" max="1" width="3.42578125" customWidth="1"/>
  </cols>
  <sheetData>
    <row r="2" spans="11:13" x14ac:dyDescent="0.2">
      <c r="K2" s="1" t="s">
        <v>0</v>
      </c>
      <c r="L2" s="1"/>
    </row>
    <row r="3" spans="11:13" x14ac:dyDescent="0.2">
      <c r="K3" t="s">
        <v>1</v>
      </c>
      <c r="L3">
        <v>515.89</v>
      </c>
    </row>
    <row r="4" spans="11:13" x14ac:dyDescent="0.2">
      <c r="K4" t="s">
        <v>2</v>
      </c>
      <c r="L4" s="2">
        <f>904.889521+6.818985</f>
        <v>911.70850599999994</v>
      </c>
      <c r="M4" s="8" t="s">
        <v>45</v>
      </c>
    </row>
    <row r="5" spans="11:13" x14ac:dyDescent="0.2">
      <c r="K5" t="s">
        <v>3</v>
      </c>
      <c r="L5" s="2">
        <f>+L3*L4</f>
        <v>470341.30116033996</v>
      </c>
      <c r="M5" s="8"/>
    </row>
    <row r="6" spans="11:13" x14ac:dyDescent="0.2">
      <c r="K6" t="s">
        <v>4</v>
      </c>
      <c r="L6" s="2">
        <f>8442+330</f>
        <v>8772</v>
      </c>
      <c r="M6" s="8" t="s">
        <v>45</v>
      </c>
    </row>
    <row r="7" spans="11:13" x14ac:dyDescent="0.2">
      <c r="K7" t="s">
        <v>5</v>
      </c>
      <c r="L7" s="2">
        <f>750+17476</f>
        <v>18226</v>
      </c>
      <c r="M7" s="8" t="s">
        <v>45</v>
      </c>
    </row>
    <row r="8" spans="11:13" x14ac:dyDescent="0.2">
      <c r="K8" t="s">
        <v>6</v>
      </c>
      <c r="L8" s="2">
        <f>+L5-L6+L7</f>
        <v>479795.30116033996</v>
      </c>
      <c r="M8" s="8"/>
    </row>
    <row r="9" spans="11:13" x14ac:dyDescent="0.2">
      <c r="K9" t="s">
        <v>7</v>
      </c>
      <c r="L9" s="2">
        <v>14306</v>
      </c>
      <c r="M9" s="8"/>
    </row>
    <row r="10" spans="11:13" x14ac:dyDescent="0.2">
      <c r="L10" s="3">
        <f>+L8/L9</f>
        <v>33.53804705440654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8708-D434-4C6E-89C1-7BCDB4E5B7C6}">
  <dimension ref="B2:EH112"/>
  <sheetViews>
    <sheetView workbookViewId="0">
      <pane xSplit="2" ySplit="2" topLeftCell="M31" activePane="bottomRight" state="frozen"/>
      <selection pane="topRight" activeCell="C1" sqref="C1"/>
      <selection pane="bottomLeft" activeCell="A3" sqref="A3"/>
      <selection pane="bottomRight" activeCell="U70" sqref="U70"/>
    </sheetView>
  </sheetViews>
  <sheetFormatPr defaultRowHeight="12.75" x14ac:dyDescent="0.2"/>
  <cols>
    <col min="1" max="1" width="2.42578125" customWidth="1"/>
    <col min="2" max="2" width="18.42578125" bestFit="1" customWidth="1"/>
    <col min="22" max="22" width="10" customWidth="1"/>
  </cols>
  <sheetData>
    <row r="2" spans="2:37" x14ac:dyDescent="0.2">
      <c r="C2" s="8" t="s">
        <v>52</v>
      </c>
      <c r="D2" s="8" t="s">
        <v>51</v>
      </c>
      <c r="E2" s="8" t="s">
        <v>50</v>
      </c>
      <c r="F2" s="8" t="s">
        <v>49</v>
      </c>
      <c r="G2" s="8" t="s">
        <v>48</v>
      </c>
      <c r="H2" s="8" t="s">
        <v>47</v>
      </c>
      <c r="I2" s="8" t="s">
        <v>46</v>
      </c>
      <c r="J2" s="8" t="s">
        <v>45</v>
      </c>
      <c r="K2" s="8" t="s">
        <v>80</v>
      </c>
      <c r="L2" s="8" t="s">
        <v>81</v>
      </c>
      <c r="M2" s="8" t="s">
        <v>82</v>
      </c>
      <c r="N2" s="8" t="s">
        <v>83</v>
      </c>
      <c r="P2">
        <v>2019</v>
      </c>
      <c r="Q2">
        <f t="shared" ref="Q2:AK2" si="0">+P2+1</f>
        <v>2020</v>
      </c>
      <c r="R2">
        <f t="shared" si="0"/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</row>
    <row r="3" spans="2:37" s="9" customFormat="1" x14ac:dyDescent="0.2">
      <c r="B3" s="10" t="s">
        <v>92</v>
      </c>
      <c r="T3" s="9">
        <v>12358</v>
      </c>
      <c r="U3" s="9">
        <v>13191</v>
      </c>
    </row>
    <row r="4" spans="2:37" s="9" customFormat="1" x14ac:dyDescent="0.2">
      <c r="B4" s="10" t="s">
        <v>93</v>
      </c>
      <c r="T4" s="9">
        <f>+T16</f>
        <v>7346</v>
      </c>
      <c r="U4" s="9">
        <f>+U16</f>
        <v>8018</v>
      </c>
    </row>
    <row r="5" spans="2:37" s="9" customFormat="1" x14ac:dyDescent="0.2">
      <c r="B5" s="10" t="s">
        <v>94</v>
      </c>
      <c r="T5" s="9">
        <v>1665</v>
      </c>
    </row>
    <row r="6" spans="2:37" s="9" customFormat="1" x14ac:dyDescent="0.2">
      <c r="B6" s="10" t="s">
        <v>95</v>
      </c>
      <c r="T6" s="9">
        <v>1500</v>
      </c>
    </row>
    <row r="7" spans="2:37" s="9" customFormat="1" x14ac:dyDescent="0.2">
      <c r="B7" s="10" t="s">
        <v>96</v>
      </c>
      <c r="T7" s="9">
        <v>321</v>
      </c>
    </row>
    <row r="8" spans="2:37" s="9" customFormat="1" x14ac:dyDescent="0.2">
      <c r="B8" s="10" t="s">
        <v>97</v>
      </c>
      <c r="T8" s="9">
        <v>256</v>
      </c>
    </row>
    <row r="9" spans="2:37" s="12" customFormat="1" x14ac:dyDescent="0.2">
      <c r="B9" s="11" t="s">
        <v>86</v>
      </c>
      <c r="T9" s="12">
        <f>+SUM(T3:T8)</f>
        <v>23446</v>
      </c>
    </row>
    <row r="10" spans="2:37" x14ac:dyDescent="0.2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37" s="2" customFormat="1" x14ac:dyDescent="0.2">
      <c r="B11" s="2" t="s">
        <v>90</v>
      </c>
      <c r="C11" s="9">
        <v>413</v>
      </c>
      <c r="D11" s="9">
        <v>419</v>
      </c>
      <c r="E11" s="9">
        <v>420</v>
      </c>
      <c r="F11" s="9">
        <v>437</v>
      </c>
      <c r="G11" s="9">
        <v>425</v>
      </c>
      <c r="H11" s="9">
        <v>425</v>
      </c>
      <c r="I11" s="9">
        <v>447</v>
      </c>
      <c r="J11" s="9">
        <v>462</v>
      </c>
      <c r="K11" s="9"/>
      <c r="L11" s="9"/>
      <c r="M11" s="9"/>
      <c r="N11" s="9"/>
      <c r="T11" s="2">
        <f>+SUM(C11:F11)</f>
        <v>1689</v>
      </c>
      <c r="U11" s="2">
        <f>+SUM(G11:J11)</f>
        <v>1759</v>
      </c>
    </row>
    <row r="12" spans="2:37" s="2" customFormat="1" x14ac:dyDescent="0.2">
      <c r="B12" s="2" t="s">
        <v>89</v>
      </c>
      <c r="C12" s="9">
        <v>55</v>
      </c>
      <c r="D12" s="9">
        <v>63</v>
      </c>
      <c r="E12" s="9">
        <v>64</v>
      </c>
      <c r="F12" s="9">
        <v>65</v>
      </c>
      <c r="G12" s="9">
        <v>59</v>
      </c>
      <c r="H12" s="9">
        <v>66</v>
      </c>
      <c r="I12" s="9">
        <v>66</v>
      </c>
      <c r="J12" s="9">
        <v>68</v>
      </c>
      <c r="K12" s="9"/>
      <c r="L12" s="9"/>
      <c r="M12" s="9"/>
      <c r="N12" s="9"/>
      <c r="T12" s="2">
        <f t="shared" ref="T12:T15" si="1">+SUM(C12:F12)</f>
        <v>247</v>
      </c>
      <c r="U12" s="2">
        <f t="shared" ref="U12:U15" si="2">+SUM(G12:J12)</f>
        <v>259</v>
      </c>
    </row>
    <row r="13" spans="2:37" s="2" customFormat="1" x14ac:dyDescent="0.2">
      <c r="B13" s="2" t="s">
        <v>87</v>
      </c>
      <c r="C13" s="9">
        <v>510</v>
      </c>
      <c r="D13" s="9">
        <v>574</v>
      </c>
      <c r="E13" s="9">
        <v>603</v>
      </c>
      <c r="F13" s="9">
        <v>602</v>
      </c>
      <c r="G13" s="9">
        <v>590</v>
      </c>
      <c r="H13" s="9">
        <v>638</v>
      </c>
      <c r="I13" s="9">
        <v>697</v>
      </c>
      <c r="J13" s="9">
        <v>700</v>
      </c>
      <c r="K13" s="9"/>
      <c r="L13" s="9"/>
      <c r="M13" s="9"/>
      <c r="N13" s="9"/>
      <c r="T13" s="2">
        <f t="shared" si="1"/>
        <v>2289</v>
      </c>
      <c r="U13" s="2">
        <f t="shared" si="2"/>
        <v>2625</v>
      </c>
    </row>
    <row r="14" spans="2:37" s="2" customFormat="1" x14ac:dyDescent="0.2">
      <c r="B14" s="2" t="s">
        <v>88</v>
      </c>
      <c r="C14" s="9">
        <v>117</v>
      </c>
      <c r="D14" s="9">
        <v>128</v>
      </c>
      <c r="E14" s="9">
        <v>136</v>
      </c>
      <c r="F14" s="9">
        <v>148</v>
      </c>
      <c r="G14" s="9">
        <v>144</v>
      </c>
      <c r="H14" s="9">
        <v>146</v>
      </c>
      <c r="I14" s="9">
        <v>146</v>
      </c>
      <c r="J14" s="9">
        <v>155</v>
      </c>
      <c r="K14" s="9"/>
      <c r="L14" s="9"/>
      <c r="M14" s="9"/>
      <c r="N14" s="9"/>
      <c r="T14" s="2">
        <f t="shared" si="1"/>
        <v>529</v>
      </c>
      <c r="U14" s="2">
        <f t="shared" si="2"/>
        <v>591</v>
      </c>
    </row>
    <row r="15" spans="2:37" s="2" customFormat="1" x14ac:dyDescent="0.2">
      <c r="B15" s="2" t="s">
        <v>91</v>
      </c>
      <c r="C15" s="9">
        <v>612</v>
      </c>
      <c r="D15" s="9">
        <v>655</v>
      </c>
      <c r="E15" s="9">
        <v>657</v>
      </c>
      <c r="F15" s="9">
        <v>668</v>
      </c>
      <c r="G15" s="9">
        <v>653</v>
      </c>
      <c r="H15" s="9">
        <v>700</v>
      </c>
      <c r="I15" s="9">
        <v>703</v>
      </c>
      <c r="J15" s="9">
        <v>729</v>
      </c>
      <c r="K15" s="9"/>
      <c r="L15" s="9"/>
      <c r="M15" s="9"/>
      <c r="N15" s="9"/>
      <c r="T15" s="2">
        <f t="shared" si="1"/>
        <v>2592</v>
      </c>
      <c r="U15" s="2">
        <f t="shared" si="2"/>
        <v>2785</v>
      </c>
    </row>
    <row r="16" spans="2:37" s="2" customFormat="1" x14ac:dyDescent="0.2">
      <c r="B16" s="2" t="s">
        <v>86</v>
      </c>
      <c r="C16" s="9">
        <v>1707</v>
      </c>
      <c r="D16" s="9">
        <v>1839</v>
      </c>
      <c r="E16" s="9">
        <v>1879</v>
      </c>
      <c r="F16" s="9">
        <v>1921</v>
      </c>
      <c r="G16" s="9">
        <v>1871</v>
      </c>
      <c r="H16" s="9">
        <v>1975</v>
      </c>
      <c r="I16" s="9">
        <v>2058</v>
      </c>
      <c r="J16" s="9">
        <v>2114</v>
      </c>
      <c r="K16" s="9"/>
      <c r="L16" s="9"/>
      <c r="M16" s="9"/>
      <c r="N16" s="9"/>
      <c r="T16" s="2">
        <f>+SUM(C16:F16)</f>
        <v>7346</v>
      </c>
      <c r="U16" s="2">
        <f>+SUM(G16:J16)</f>
        <v>8018</v>
      </c>
    </row>
    <row r="17" spans="2:138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38" s="4" customFormat="1" x14ac:dyDescent="0.2">
      <c r="B18" s="4" t="s">
        <v>44</v>
      </c>
      <c r="C18" s="4">
        <v>5748</v>
      </c>
      <c r="D18" s="4">
        <v>6269</v>
      </c>
      <c r="E18" s="4">
        <v>6533</v>
      </c>
      <c r="F18" s="4">
        <f>+T18-SUM(C18:E18)</f>
        <v>6548</v>
      </c>
      <c r="G18" s="4">
        <v>6348</v>
      </c>
      <c r="H18" s="4">
        <v>6961</v>
      </c>
      <c r="I18" s="4">
        <v>7369</v>
      </c>
      <c r="J18" s="4">
        <f>+U18-SUM(G18:I18)</f>
        <v>7489</v>
      </c>
      <c r="P18" s="4">
        <v>16883</v>
      </c>
      <c r="Q18" s="4">
        <v>15301</v>
      </c>
      <c r="R18" s="4">
        <v>18884</v>
      </c>
      <c r="S18" s="4">
        <v>22237</v>
      </c>
      <c r="T18" s="4">
        <v>25098</v>
      </c>
      <c r="U18" s="4">
        <v>28167</v>
      </c>
      <c r="V18" s="4">
        <f t="shared" ref="V18:AK18" si="3">+U18*1.09</f>
        <v>30702.030000000002</v>
      </c>
      <c r="W18" s="4">
        <f t="shared" si="3"/>
        <v>33465.212700000004</v>
      </c>
      <c r="X18" s="4">
        <f t="shared" si="3"/>
        <v>36477.081843000007</v>
      </c>
      <c r="Y18" s="4">
        <f t="shared" si="3"/>
        <v>39760.019208870013</v>
      </c>
      <c r="Z18" s="4">
        <f t="shared" si="3"/>
        <v>43338.420937668321</v>
      </c>
      <c r="AA18" s="4">
        <f t="shared" si="3"/>
        <v>47238.878822058476</v>
      </c>
      <c r="AB18" s="4">
        <f t="shared" si="3"/>
        <v>51490.377916043741</v>
      </c>
      <c r="AC18" s="4">
        <f t="shared" si="3"/>
        <v>56124.511928487678</v>
      </c>
      <c r="AD18" s="4">
        <f t="shared" si="3"/>
        <v>61175.718002051573</v>
      </c>
      <c r="AE18" s="4">
        <f t="shared" si="3"/>
        <v>66681.53262223622</v>
      </c>
      <c r="AF18" s="4">
        <f t="shared" si="3"/>
        <v>72682.870558237482</v>
      </c>
      <c r="AG18" s="4">
        <f t="shared" si="3"/>
        <v>79224.328908478856</v>
      </c>
      <c r="AH18" s="4">
        <f t="shared" si="3"/>
        <v>86354.518510241964</v>
      </c>
      <c r="AI18" s="4">
        <f t="shared" si="3"/>
        <v>94126.425176163742</v>
      </c>
      <c r="AJ18" s="4">
        <f t="shared" si="3"/>
        <v>102597.80344201848</v>
      </c>
      <c r="AK18" s="4">
        <f t="shared" si="3"/>
        <v>111831.60575180016</v>
      </c>
    </row>
    <row r="19" spans="2:138" s="2" customFormat="1" x14ac:dyDescent="0.2">
      <c r="B19" s="2" t="s">
        <v>43</v>
      </c>
      <c r="C19" s="2">
        <v>2043</v>
      </c>
      <c r="D19" s="2">
        <v>2200</v>
      </c>
      <c r="E19" s="2">
        <v>2285</v>
      </c>
      <c r="F19" s="2">
        <f t="shared" ref="F19:F20" si="4">+T19-SUM(C19:E19)</f>
        <v>2399</v>
      </c>
      <c r="G19" s="2">
        <v>2286</v>
      </c>
      <c r="H19" s="2">
        <v>2418</v>
      </c>
      <c r="I19" s="2">
        <v>2744</v>
      </c>
      <c r="J19" s="2">
        <f t="shared" ref="J19:J20" si="5">+U19-SUM(G19:I19)</f>
        <v>2745</v>
      </c>
      <c r="P19" s="2">
        <v>5763</v>
      </c>
      <c r="Q19" s="2">
        <v>5910</v>
      </c>
      <c r="R19" s="2">
        <v>7087</v>
      </c>
      <c r="S19" s="2">
        <v>8078</v>
      </c>
      <c r="T19" s="2">
        <v>8927</v>
      </c>
      <c r="U19" s="2">
        <v>10193</v>
      </c>
      <c r="V19" s="2">
        <f t="shared" ref="V19:AK19" si="6">+U19*1.08</f>
        <v>11008.44</v>
      </c>
      <c r="W19" s="2">
        <f t="shared" si="6"/>
        <v>11889.115200000002</v>
      </c>
      <c r="X19" s="2">
        <f t="shared" si="6"/>
        <v>12840.244416000003</v>
      </c>
      <c r="Y19" s="2">
        <f t="shared" si="6"/>
        <v>13867.463969280005</v>
      </c>
      <c r="Z19" s="2">
        <f t="shared" si="6"/>
        <v>14976.861086822406</v>
      </c>
      <c r="AA19" s="2">
        <f t="shared" si="6"/>
        <v>16175.009973768199</v>
      </c>
      <c r="AB19" s="2">
        <f t="shared" si="6"/>
        <v>17469.010771669655</v>
      </c>
      <c r="AC19" s="2">
        <f t="shared" si="6"/>
        <v>18866.531633403229</v>
      </c>
      <c r="AD19" s="2">
        <f t="shared" si="6"/>
        <v>20375.854164075488</v>
      </c>
      <c r="AE19" s="2">
        <f t="shared" si="6"/>
        <v>22005.922497201529</v>
      </c>
      <c r="AF19" s="2">
        <f t="shared" si="6"/>
        <v>23766.396296977651</v>
      </c>
      <c r="AG19" s="2">
        <f t="shared" si="6"/>
        <v>25667.708000735864</v>
      </c>
      <c r="AH19" s="2">
        <f t="shared" si="6"/>
        <v>27721.124640794733</v>
      </c>
      <c r="AI19" s="2">
        <f t="shared" si="6"/>
        <v>29938.814612058315</v>
      </c>
      <c r="AJ19" s="2">
        <f t="shared" si="6"/>
        <v>32333.919781022982</v>
      </c>
      <c r="AK19" s="2">
        <f t="shared" si="6"/>
        <v>34920.633363504821</v>
      </c>
    </row>
    <row r="20" spans="2:138" s="2" customFormat="1" x14ac:dyDescent="0.2">
      <c r="B20" s="2" t="s">
        <v>42</v>
      </c>
      <c r="C20" s="2">
        <v>167</v>
      </c>
      <c r="D20" s="2">
        <v>201</v>
      </c>
      <c r="E20" s="2">
        <v>193</v>
      </c>
      <c r="F20" s="2">
        <f t="shared" si="4"/>
        <v>264</v>
      </c>
      <c r="G20" s="2">
        <v>116</v>
      </c>
      <c r="H20" s="2">
        <v>184</v>
      </c>
      <c r="I20" s="2">
        <v>220</v>
      </c>
      <c r="J20" s="2">
        <f t="shared" si="5"/>
        <v>295</v>
      </c>
      <c r="P20" s="2">
        <v>934</v>
      </c>
      <c r="Q20" s="2">
        <v>657</v>
      </c>
      <c r="R20" s="2">
        <v>895</v>
      </c>
      <c r="S20" s="2">
        <v>789</v>
      </c>
      <c r="T20" s="2">
        <v>825</v>
      </c>
      <c r="U20" s="2">
        <v>815</v>
      </c>
      <c r="V20" s="2">
        <f t="shared" ref="V20:AK20" si="7">+U20*1.03</f>
        <v>839.45</v>
      </c>
      <c r="W20" s="2">
        <f t="shared" si="7"/>
        <v>864.63350000000003</v>
      </c>
      <c r="X20" s="2">
        <f t="shared" si="7"/>
        <v>890.57250500000009</v>
      </c>
      <c r="Y20" s="2">
        <f t="shared" si="7"/>
        <v>917.28968015000009</v>
      </c>
      <c r="Z20" s="2">
        <f t="shared" si="7"/>
        <v>944.80837055450013</v>
      </c>
      <c r="AA20" s="2">
        <f t="shared" si="7"/>
        <v>973.15262167113519</v>
      </c>
      <c r="AB20" s="2">
        <f t="shared" si="7"/>
        <v>1002.3472003212693</v>
      </c>
      <c r="AC20" s="2">
        <f t="shared" si="7"/>
        <v>1032.4176163309073</v>
      </c>
      <c r="AD20" s="2">
        <f t="shared" si="7"/>
        <v>1063.3901448208346</v>
      </c>
      <c r="AE20" s="2">
        <f t="shared" si="7"/>
        <v>1095.2918491654598</v>
      </c>
      <c r="AF20" s="2">
        <f t="shared" si="7"/>
        <v>1128.1506046404236</v>
      </c>
      <c r="AG20" s="2">
        <f t="shared" si="7"/>
        <v>1161.9951227796364</v>
      </c>
      <c r="AH20" s="2">
        <f t="shared" si="7"/>
        <v>1196.8549764630254</v>
      </c>
      <c r="AI20" s="2">
        <f t="shared" si="7"/>
        <v>1232.7606257569162</v>
      </c>
      <c r="AJ20" s="2">
        <f t="shared" si="7"/>
        <v>1269.7434445296237</v>
      </c>
      <c r="AK20" s="2">
        <f t="shared" si="7"/>
        <v>1307.8357478655125</v>
      </c>
    </row>
    <row r="21" spans="2:138" s="2" customFormat="1" x14ac:dyDescent="0.2">
      <c r="B21" s="2" t="s">
        <v>40</v>
      </c>
      <c r="C21" s="2">
        <f t="shared" ref="C21:J21" si="8">+SUM(C19:C20)</f>
        <v>2210</v>
      </c>
      <c r="D21" s="2">
        <f t="shared" si="8"/>
        <v>2401</v>
      </c>
      <c r="E21" s="2">
        <f t="shared" si="8"/>
        <v>2478</v>
      </c>
      <c r="F21" s="2">
        <f t="shared" si="8"/>
        <v>2663</v>
      </c>
      <c r="G21" s="2">
        <f t="shared" si="8"/>
        <v>2402</v>
      </c>
      <c r="H21" s="2">
        <f t="shared" si="8"/>
        <v>2602</v>
      </c>
      <c r="I21" s="2">
        <f t="shared" si="8"/>
        <v>2964</v>
      </c>
      <c r="J21" s="2">
        <f t="shared" si="8"/>
        <v>3040</v>
      </c>
      <c r="P21" s="2">
        <f t="shared" ref="P21:AK21" si="9">+SUM(P19:P20)</f>
        <v>6697</v>
      </c>
      <c r="Q21" s="2">
        <f t="shared" si="9"/>
        <v>6567</v>
      </c>
      <c r="R21" s="2">
        <f t="shared" si="9"/>
        <v>7982</v>
      </c>
      <c r="S21" s="2">
        <f t="shared" si="9"/>
        <v>8867</v>
      </c>
      <c r="T21" s="2">
        <f t="shared" si="9"/>
        <v>9752</v>
      </c>
      <c r="U21" s="2">
        <f t="shared" si="9"/>
        <v>11008</v>
      </c>
      <c r="V21" s="2">
        <f t="shared" si="9"/>
        <v>11847.890000000001</v>
      </c>
      <c r="W21" s="2">
        <f t="shared" si="9"/>
        <v>12753.748700000002</v>
      </c>
      <c r="X21" s="2">
        <f t="shared" si="9"/>
        <v>13730.816921000003</v>
      </c>
      <c r="Y21" s="2">
        <f t="shared" si="9"/>
        <v>14784.753649430004</v>
      </c>
      <c r="Z21" s="2">
        <f t="shared" si="9"/>
        <v>15921.669457376905</v>
      </c>
      <c r="AA21" s="2">
        <f t="shared" si="9"/>
        <v>17148.162595439335</v>
      </c>
      <c r="AB21" s="2">
        <f t="shared" si="9"/>
        <v>18471.357971990925</v>
      </c>
      <c r="AC21" s="2">
        <f t="shared" si="9"/>
        <v>19898.949249734134</v>
      </c>
      <c r="AD21" s="2">
        <f t="shared" si="9"/>
        <v>21439.244308896323</v>
      </c>
      <c r="AE21" s="2">
        <f t="shared" si="9"/>
        <v>23101.214346366989</v>
      </c>
      <c r="AF21" s="2">
        <f t="shared" si="9"/>
        <v>24894.546901618076</v>
      </c>
      <c r="AG21" s="2">
        <f t="shared" si="9"/>
        <v>26829.703123515501</v>
      </c>
      <c r="AH21" s="2">
        <f t="shared" si="9"/>
        <v>28917.979617257759</v>
      </c>
      <c r="AI21" s="2">
        <f t="shared" si="9"/>
        <v>31171.575237815232</v>
      </c>
      <c r="AJ21" s="2">
        <f t="shared" si="9"/>
        <v>33603.663225552606</v>
      </c>
      <c r="AK21" s="2">
        <f t="shared" si="9"/>
        <v>36228.46911137033</v>
      </c>
    </row>
    <row r="22" spans="2:138" s="2" customFormat="1" x14ac:dyDescent="0.2">
      <c r="B22" s="2" t="s">
        <v>39</v>
      </c>
      <c r="C22" s="2">
        <f t="shared" ref="C22:J22" si="10">+C18-C21</f>
        <v>3538</v>
      </c>
      <c r="D22" s="2">
        <f t="shared" si="10"/>
        <v>3868</v>
      </c>
      <c r="E22" s="2">
        <f t="shared" si="10"/>
        <v>4055</v>
      </c>
      <c r="F22" s="2">
        <f t="shared" si="10"/>
        <v>3885</v>
      </c>
      <c r="G22" s="2">
        <f t="shared" si="10"/>
        <v>3946</v>
      </c>
      <c r="H22" s="2">
        <f t="shared" si="10"/>
        <v>4359</v>
      </c>
      <c r="I22" s="2">
        <f t="shared" si="10"/>
        <v>4405</v>
      </c>
      <c r="J22" s="2">
        <f t="shared" si="10"/>
        <v>4449</v>
      </c>
      <c r="P22" s="2">
        <f t="shared" ref="P22:AK22" si="11">+P18-P21</f>
        <v>10186</v>
      </c>
      <c r="Q22" s="2">
        <f t="shared" si="11"/>
        <v>8734</v>
      </c>
      <c r="R22" s="2">
        <f t="shared" si="11"/>
        <v>10902</v>
      </c>
      <c r="S22" s="2">
        <f t="shared" si="11"/>
        <v>13370</v>
      </c>
      <c r="T22" s="2">
        <f t="shared" si="11"/>
        <v>15346</v>
      </c>
      <c r="U22" s="2">
        <f t="shared" si="11"/>
        <v>17159</v>
      </c>
      <c r="V22" s="2">
        <f t="shared" si="11"/>
        <v>18854.14</v>
      </c>
      <c r="W22" s="2">
        <f t="shared" si="11"/>
        <v>20711.464</v>
      </c>
      <c r="X22" s="2">
        <f t="shared" si="11"/>
        <v>22746.264922000002</v>
      </c>
      <c r="Y22" s="2">
        <f t="shared" si="11"/>
        <v>24975.265559440009</v>
      </c>
      <c r="Z22" s="2">
        <f t="shared" si="11"/>
        <v>27416.751480291416</v>
      </c>
      <c r="AA22" s="2">
        <f t="shared" si="11"/>
        <v>30090.716226619141</v>
      </c>
      <c r="AB22" s="2">
        <f t="shared" si="11"/>
        <v>33019.019944052816</v>
      </c>
      <c r="AC22" s="2">
        <f t="shared" si="11"/>
        <v>36225.562678753544</v>
      </c>
      <c r="AD22" s="2">
        <f t="shared" si="11"/>
        <v>39736.473693155247</v>
      </c>
      <c r="AE22" s="2">
        <f t="shared" si="11"/>
        <v>43580.318275869227</v>
      </c>
      <c r="AF22" s="2">
        <f t="shared" si="11"/>
        <v>47788.32365661941</v>
      </c>
      <c r="AG22" s="2">
        <f t="shared" si="11"/>
        <v>52394.625784963355</v>
      </c>
      <c r="AH22" s="2">
        <f t="shared" si="11"/>
        <v>57436.538892984201</v>
      </c>
      <c r="AI22" s="2">
        <f t="shared" si="11"/>
        <v>62954.84993834851</v>
      </c>
      <c r="AJ22" s="2">
        <f t="shared" si="11"/>
        <v>68994.140216465879</v>
      </c>
      <c r="AK22" s="2">
        <f t="shared" si="11"/>
        <v>75603.136640429831</v>
      </c>
    </row>
    <row r="23" spans="2:138" s="2" customFormat="1" x14ac:dyDescent="0.2">
      <c r="B23" s="2" t="s">
        <v>38</v>
      </c>
      <c r="C23" s="2">
        <v>-132</v>
      </c>
      <c r="D23" s="2">
        <v>-144</v>
      </c>
      <c r="E23" s="2">
        <v>-151</v>
      </c>
      <c r="F23" s="2">
        <f t="shared" ref="F23:F26" si="12">+T23-SUM(C23:E23)</f>
        <v>-148</v>
      </c>
      <c r="G23" s="2">
        <v>-150</v>
      </c>
      <c r="H23" s="2">
        <v>-153</v>
      </c>
      <c r="I23" s="2">
        <v>-159</v>
      </c>
      <c r="J23" s="2">
        <f t="shared" ref="J23:J26" si="13">+U23-SUM(G23:I23)</f>
        <v>-184</v>
      </c>
      <c r="P23" s="2">
        <f>-224</f>
        <v>-224</v>
      </c>
      <c r="Q23" s="2">
        <v>-380</v>
      </c>
      <c r="R23" s="2">
        <v>-431</v>
      </c>
      <c r="S23" s="2">
        <v>-471</v>
      </c>
      <c r="T23" s="2">
        <v>-575</v>
      </c>
      <c r="U23" s="2">
        <v>-646</v>
      </c>
      <c r="V23" s="2">
        <f t="shared" ref="V23:AK23" si="14">+V18*(1-0.021)-V18</f>
        <v>-644.74263000000064</v>
      </c>
      <c r="W23" s="2">
        <f t="shared" si="14"/>
        <v>-702.76946669999961</v>
      </c>
      <c r="X23" s="2">
        <f t="shared" si="14"/>
        <v>-766.01871870300238</v>
      </c>
      <c r="Y23" s="2">
        <f t="shared" si="14"/>
        <v>-834.96040338627063</v>
      </c>
      <c r="Z23" s="2">
        <f t="shared" si="14"/>
        <v>-910.10683969103411</v>
      </c>
      <c r="AA23" s="2">
        <f t="shared" si="14"/>
        <v>-992.01645526322682</v>
      </c>
      <c r="AB23" s="2">
        <f t="shared" si="14"/>
        <v>-1081.2979362369224</v>
      </c>
      <c r="AC23" s="2">
        <f t="shared" si="14"/>
        <v>-1178.6147504982437</v>
      </c>
      <c r="AD23" s="2">
        <f t="shared" si="14"/>
        <v>-1284.6900780430806</v>
      </c>
      <c r="AE23" s="2">
        <f t="shared" si="14"/>
        <v>-1400.3121850669631</v>
      </c>
      <c r="AF23" s="2">
        <f t="shared" si="14"/>
        <v>-1526.3402817229944</v>
      </c>
      <c r="AG23" s="2">
        <f t="shared" si="14"/>
        <v>-1663.7109070780571</v>
      </c>
      <c r="AH23" s="2">
        <f t="shared" si="14"/>
        <v>-1813.4448887150793</v>
      </c>
      <c r="AI23" s="2">
        <f t="shared" si="14"/>
        <v>-1976.6549286994414</v>
      </c>
      <c r="AJ23" s="2">
        <f t="shared" si="14"/>
        <v>-2154.553872282384</v>
      </c>
      <c r="AK23" s="2">
        <f t="shared" si="14"/>
        <v>-2348.4637207878113</v>
      </c>
    </row>
    <row r="24" spans="2:138" s="2" customFormat="1" x14ac:dyDescent="0.2">
      <c r="B24" s="2" t="s">
        <v>85</v>
      </c>
      <c r="V24" s="2">
        <f>+U44*0.03</f>
        <v>263.15999999999997</v>
      </c>
      <c r="W24" s="2">
        <f>+V43*0.03</f>
        <v>174.48137687999997</v>
      </c>
      <c r="X24" s="2">
        <f t="shared" ref="X24:AK24" si="15">+W43*0.03</f>
        <v>658.87759872432002</v>
      </c>
      <c r="Y24" s="2">
        <f t="shared" si="15"/>
        <v>1202.2165699728318</v>
      </c>
      <c r="Z24" s="2">
        <f t="shared" si="15"/>
        <v>1810.4370913974694</v>
      </c>
      <c r="AA24" s="2">
        <f t="shared" si="15"/>
        <v>2490.0470529654176</v>
      </c>
      <c r="AB24" s="2">
        <f t="shared" si="15"/>
        <v>3248.1769767491296</v>
      </c>
      <c r="AC24" s="2">
        <f t="shared" si="15"/>
        <v>4092.6385523786898</v>
      </c>
      <c r="AD24" s="2">
        <f t="shared" si="15"/>
        <v>5031.9886279139055</v>
      </c>
      <c r="AE24" s="2">
        <f t="shared" si="15"/>
        <v>6075.5991617465315</v>
      </c>
      <c r="AF24" s="2">
        <f t="shared" si="15"/>
        <v>7233.7336878077022</v>
      </c>
      <c r="AG24" s="2">
        <f t="shared" si="15"/>
        <v>8517.6308973126015</v>
      </c>
      <c r="AH24" s="2">
        <f t="shared" si="15"/>
        <v>9939.5959959173524</v>
      </c>
      <c r="AI24" s="2">
        <f t="shared" si="15"/>
        <v>11513.100555921828</v>
      </c>
      <c r="AJ24" s="2">
        <f t="shared" si="15"/>
        <v>13252.891649495528</v>
      </c>
      <c r="AK24" s="2">
        <f t="shared" si="15"/>
        <v>15175.111121343827</v>
      </c>
    </row>
    <row r="25" spans="2:138" s="2" customFormat="1" x14ac:dyDescent="0.2">
      <c r="B25" s="2" t="s">
        <v>37</v>
      </c>
      <c r="C25" s="2">
        <f t="shared" ref="C25:J25" si="16">+C22+SUM(C23:C23)</f>
        <v>3406</v>
      </c>
      <c r="D25" s="2">
        <f t="shared" si="16"/>
        <v>3724</v>
      </c>
      <c r="E25" s="2">
        <f t="shared" si="16"/>
        <v>3904</v>
      </c>
      <c r="F25" s="2">
        <f t="shared" si="16"/>
        <v>3737</v>
      </c>
      <c r="G25" s="2">
        <f t="shared" si="16"/>
        <v>3796</v>
      </c>
      <c r="H25" s="2">
        <f t="shared" si="16"/>
        <v>4206</v>
      </c>
      <c r="I25" s="2">
        <f t="shared" si="16"/>
        <v>4246</v>
      </c>
      <c r="J25" s="2">
        <f t="shared" si="16"/>
        <v>4265</v>
      </c>
      <c r="P25" s="2">
        <f t="shared" ref="P25:U25" si="17">+P22+SUM(P23:P23)</f>
        <v>9962</v>
      </c>
      <c r="Q25" s="2">
        <f t="shared" si="17"/>
        <v>8354</v>
      </c>
      <c r="R25" s="2">
        <f t="shared" si="17"/>
        <v>10471</v>
      </c>
      <c r="S25" s="2">
        <f t="shared" si="17"/>
        <v>12899</v>
      </c>
      <c r="T25" s="2">
        <f t="shared" si="17"/>
        <v>14771</v>
      </c>
      <c r="U25" s="2">
        <f t="shared" si="17"/>
        <v>16513</v>
      </c>
      <c r="V25" s="2">
        <f>+V22+SUM(V23:V24)</f>
        <v>18472.557369999999</v>
      </c>
      <c r="W25" s="2">
        <f t="shared" ref="W25:AK25" si="18">+W22+SUM(W23:W24)</f>
        <v>20183.175910180002</v>
      </c>
      <c r="X25" s="2">
        <f t="shared" si="18"/>
        <v>22639.12380202132</v>
      </c>
      <c r="Y25" s="2">
        <f t="shared" si="18"/>
        <v>25342.521726026571</v>
      </c>
      <c r="Z25" s="2">
        <f t="shared" si="18"/>
        <v>28317.081731997852</v>
      </c>
      <c r="AA25" s="2">
        <f t="shared" si="18"/>
        <v>31588.74682432133</v>
      </c>
      <c r="AB25" s="2">
        <f t="shared" si="18"/>
        <v>35185.898984565021</v>
      </c>
      <c r="AC25" s="2">
        <f t="shared" si="18"/>
        <v>39139.586480633989</v>
      </c>
      <c r="AD25" s="2">
        <f t="shared" si="18"/>
        <v>43483.772243026069</v>
      </c>
      <c r="AE25" s="2">
        <f t="shared" si="18"/>
        <v>48255.605252548798</v>
      </c>
      <c r="AF25" s="2">
        <f t="shared" si="18"/>
        <v>53495.71706270412</v>
      </c>
      <c r="AG25" s="2">
        <f t="shared" si="18"/>
        <v>59248.545775197897</v>
      </c>
      <c r="AH25" s="2">
        <f t="shared" si="18"/>
        <v>65562.690000186471</v>
      </c>
      <c r="AI25" s="2">
        <f t="shared" si="18"/>
        <v>72491.295565570894</v>
      </c>
      <c r="AJ25" s="2">
        <f t="shared" si="18"/>
        <v>80092.477993679029</v>
      </c>
      <c r="AK25" s="2">
        <f t="shared" si="18"/>
        <v>88429.784040985847</v>
      </c>
    </row>
    <row r="26" spans="2:138" s="2" customFormat="1" x14ac:dyDescent="0.2">
      <c r="B26" s="2" t="s">
        <v>36</v>
      </c>
      <c r="C26" s="2">
        <v>492</v>
      </c>
      <c r="D26" s="2">
        <v>859</v>
      </c>
      <c r="E26" s="2">
        <v>563</v>
      </c>
      <c r="F26" s="2">
        <f t="shared" si="12"/>
        <v>530</v>
      </c>
      <c r="G26" s="2">
        <v>547</v>
      </c>
      <c r="H26" s="2">
        <v>681</v>
      </c>
      <c r="I26" s="2">
        <v>603</v>
      </c>
      <c r="J26" s="2">
        <f t="shared" si="13"/>
        <v>559</v>
      </c>
      <c r="P26" s="2">
        <v>1613</v>
      </c>
      <c r="Q26" s="2">
        <v>1349</v>
      </c>
      <c r="R26" s="2">
        <v>1620</v>
      </c>
      <c r="S26" s="2">
        <v>1802</v>
      </c>
      <c r="T26" s="2">
        <v>2444</v>
      </c>
      <c r="U26" s="2">
        <v>2390</v>
      </c>
      <c r="V26" s="2">
        <f t="shared" ref="V26:AK26" si="19">+V25*0.2</f>
        <v>3694.5114739999999</v>
      </c>
      <c r="W26" s="2">
        <f t="shared" si="19"/>
        <v>4036.6351820360005</v>
      </c>
      <c r="X26" s="2">
        <f t="shared" si="19"/>
        <v>4527.8247604042645</v>
      </c>
      <c r="Y26" s="2">
        <f t="shared" si="19"/>
        <v>5068.5043452053142</v>
      </c>
      <c r="Z26" s="2">
        <f t="shared" si="19"/>
        <v>5663.416346399571</v>
      </c>
      <c r="AA26" s="2">
        <f t="shared" si="19"/>
        <v>6317.7493648642667</v>
      </c>
      <c r="AB26" s="2">
        <f t="shared" si="19"/>
        <v>7037.1797969130048</v>
      </c>
      <c r="AC26" s="2">
        <f t="shared" si="19"/>
        <v>7827.9172961267977</v>
      </c>
      <c r="AD26" s="2">
        <f t="shared" si="19"/>
        <v>8696.7544486052138</v>
      </c>
      <c r="AE26" s="2">
        <f t="shared" si="19"/>
        <v>9651.1210505097606</v>
      </c>
      <c r="AF26" s="2">
        <f t="shared" si="19"/>
        <v>10699.143412540825</v>
      </c>
      <c r="AG26" s="2">
        <f t="shared" si="19"/>
        <v>11849.70915503958</v>
      </c>
      <c r="AH26" s="2">
        <f t="shared" si="19"/>
        <v>13112.538000037295</v>
      </c>
      <c r="AI26" s="2">
        <f t="shared" si="19"/>
        <v>14498.25911311418</v>
      </c>
      <c r="AJ26" s="2">
        <f t="shared" si="19"/>
        <v>16018.495598735806</v>
      </c>
      <c r="AK26" s="2">
        <f t="shared" si="19"/>
        <v>17685.95680819717</v>
      </c>
    </row>
    <row r="27" spans="2:138" s="2" customFormat="1" x14ac:dyDescent="0.2">
      <c r="B27" s="2" t="s">
        <v>35</v>
      </c>
      <c r="C27" s="2">
        <f t="shared" ref="C27:F27" si="20">+C25-C26</f>
        <v>2914</v>
      </c>
      <c r="D27" s="2">
        <f t="shared" si="20"/>
        <v>2865</v>
      </c>
      <c r="E27" s="2">
        <f t="shared" si="20"/>
        <v>3341</v>
      </c>
      <c r="F27" s="2">
        <f t="shared" si="20"/>
        <v>3207</v>
      </c>
      <c r="G27" s="2">
        <f t="shared" ref="G27:H27" si="21">+G25-G26</f>
        <v>3249</v>
      </c>
      <c r="H27" s="2">
        <f t="shared" si="21"/>
        <v>3525</v>
      </c>
      <c r="I27" s="2">
        <f t="shared" ref="I27:J27" si="22">+I25-I26</f>
        <v>3643</v>
      </c>
      <c r="J27" s="2">
        <f t="shared" si="22"/>
        <v>3706</v>
      </c>
      <c r="P27" s="2">
        <f t="shared" ref="P27" si="23">+P25-P26</f>
        <v>8349</v>
      </c>
      <c r="Q27" s="2">
        <f t="shared" ref="Q27:AK27" si="24">+Q25-Q26</f>
        <v>7005</v>
      </c>
      <c r="R27" s="2">
        <f t="shared" si="24"/>
        <v>8851</v>
      </c>
      <c r="S27" s="2">
        <f t="shared" si="24"/>
        <v>11097</v>
      </c>
      <c r="T27" s="2">
        <f t="shared" si="24"/>
        <v>12327</v>
      </c>
      <c r="U27" s="2">
        <f t="shared" si="24"/>
        <v>14123</v>
      </c>
      <c r="V27" s="2">
        <f t="shared" si="24"/>
        <v>14778.045896</v>
      </c>
      <c r="W27" s="2">
        <f t="shared" si="24"/>
        <v>16146.540728144002</v>
      </c>
      <c r="X27" s="2">
        <f t="shared" si="24"/>
        <v>18111.299041617058</v>
      </c>
      <c r="Y27" s="2">
        <f t="shared" si="24"/>
        <v>20274.017380821257</v>
      </c>
      <c r="Z27" s="2">
        <f t="shared" si="24"/>
        <v>22653.66538559828</v>
      </c>
      <c r="AA27" s="2">
        <f t="shared" si="24"/>
        <v>25270.997459457063</v>
      </c>
      <c r="AB27" s="2">
        <f t="shared" si="24"/>
        <v>28148.719187652016</v>
      </c>
      <c r="AC27" s="2">
        <f t="shared" si="24"/>
        <v>31311.669184507191</v>
      </c>
      <c r="AD27" s="2">
        <f t="shared" si="24"/>
        <v>34787.017794420855</v>
      </c>
      <c r="AE27" s="2">
        <f t="shared" si="24"/>
        <v>38604.484202039035</v>
      </c>
      <c r="AF27" s="2">
        <f t="shared" si="24"/>
        <v>42796.573650163293</v>
      </c>
      <c r="AG27" s="2">
        <f t="shared" si="24"/>
        <v>47398.836620158319</v>
      </c>
      <c r="AH27" s="2">
        <f t="shared" si="24"/>
        <v>52450.152000149174</v>
      </c>
      <c r="AI27" s="2">
        <f t="shared" si="24"/>
        <v>57993.036452456712</v>
      </c>
      <c r="AJ27" s="2">
        <f t="shared" si="24"/>
        <v>64073.982394943225</v>
      </c>
      <c r="AK27" s="2">
        <f t="shared" si="24"/>
        <v>70743.827232788681</v>
      </c>
      <c r="AL27" s="2">
        <f t="shared" ref="AL27:BQ27" si="25">+AK27*(1+$AN$36)</f>
        <v>70036.388960460798</v>
      </c>
      <c r="AM27" s="2">
        <f t="shared" si="25"/>
        <v>69336.025070856194</v>
      </c>
      <c r="AN27" s="2">
        <f t="shared" si="25"/>
        <v>68642.664820147635</v>
      </c>
      <c r="AO27" s="2">
        <f t="shared" si="25"/>
        <v>67956.238171946155</v>
      </c>
      <c r="AP27" s="2">
        <f t="shared" si="25"/>
        <v>67276.675790226698</v>
      </c>
      <c r="AQ27" s="2">
        <f t="shared" si="25"/>
        <v>66603.909032324431</v>
      </c>
      <c r="AR27" s="2">
        <f t="shared" si="25"/>
        <v>65937.869942001184</v>
      </c>
      <c r="AS27" s="2">
        <f t="shared" si="25"/>
        <v>65278.491242581171</v>
      </c>
      <c r="AT27" s="2">
        <f t="shared" si="25"/>
        <v>64625.706330155357</v>
      </c>
      <c r="AU27" s="2">
        <f t="shared" si="25"/>
        <v>63979.449266853801</v>
      </c>
      <c r="AV27" s="2">
        <f t="shared" si="25"/>
        <v>63339.654774185263</v>
      </c>
      <c r="AW27" s="2">
        <f t="shared" si="25"/>
        <v>62706.25822644341</v>
      </c>
      <c r="AX27" s="2">
        <f t="shared" si="25"/>
        <v>62079.195644178973</v>
      </c>
      <c r="AY27" s="2">
        <f t="shared" si="25"/>
        <v>61458.403687737184</v>
      </c>
      <c r="AZ27" s="2">
        <f t="shared" si="25"/>
        <v>60843.819650859812</v>
      </c>
      <c r="BA27" s="2">
        <f t="shared" si="25"/>
        <v>60235.381454351213</v>
      </c>
      <c r="BB27" s="2">
        <f t="shared" si="25"/>
        <v>59633.027639807697</v>
      </c>
      <c r="BC27" s="2">
        <f t="shared" si="25"/>
        <v>59036.697363409621</v>
      </c>
      <c r="BD27" s="2">
        <f t="shared" si="25"/>
        <v>58446.330389775525</v>
      </c>
      <c r="BE27" s="2">
        <f t="shared" si="25"/>
        <v>57861.86708587777</v>
      </c>
      <c r="BF27" s="2">
        <f t="shared" si="25"/>
        <v>57283.248415018992</v>
      </c>
      <c r="BG27" s="2">
        <f t="shared" si="25"/>
        <v>56710.415930868803</v>
      </c>
      <c r="BH27" s="2">
        <f t="shared" si="25"/>
        <v>56143.311771560111</v>
      </c>
      <c r="BI27" s="2">
        <f t="shared" si="25"/>
        <v>55581.878653844513</v>
      </c>
      <c r="BJ27" s="2">
        <f t="shared" si="25"/>
        <v>55026.059867306067</v>
      </c>
      <c r="BK27" s="2">
        <f t="shared" si="25"/>
        <v>54475.799268633004</v>
      </c>
      <c r="BL27" s="2">
        <f t="shared" si="25"/>
        <v>53931.041275946671</v>
      </c>
      <c r="BM27" s="2">
        <f t="shared" si="25"/>
        <v>53391.7308631872</v>
      </c>
      <c r="BN27" s="2">
        <f t="shared" si="25"/>
        <v>52857.81355455533</v>
      </c>
      <c r="BO27" s="2">
        <f t="shared" si="25"/>
        <v>52329.235419009776</v>
      </c>
      <c r="BP27" s="2">
        <f t="shared" si="25"/>
        <v>51805.943064819679</v>
      </c>
      <c r="BQ27" s="2">
        <f t="shared" si="25"/>
        <v>51287.883634171485</v>
      </c>
      <c r="BR27" s="2">
        <f t="shared" ref="BR27:CW27" si="26">+BQ27*(1+$AN$36)</f>
        <v>50775.004797829766</v>
      </c>
      <c r="BS27" s="2">
        <f t="shared" si="26"/>
        <v>50267.254749851469</v>
      </c>
      <c r="BT27" s="2">
        <f t="shared" si="26"/>
        <v>49764.582202352954</v>
      </c>
      <c r="BU27" s="2">
        <f t="shared" si="26"/>
        <v>49266.936380329425</v>
      </c>
      <c r="BV27" s="2">
        <f t="shared" si="26"/>
        <v>48774.26701652613</v>
      </c>
      <c r="BW27" s="2">
        <f t="shared" si="26"/>
        <v>48286.524346360871</v>
      </c>
      <c r="BX27" s="2">
        <f t="shared" si="26"/>
        <v>47803.659102897262</v>
      </c>
      <c r="BY27" s="2">
        <f t="shared" si="26"/>
        <v>47325.622511868285</v>
      </c>
      <c r="BZ27" s="2">
        <f t="shared" si="26"/>
        <v>46852.366286749602</v>
      </c>
      <c r="CA27" s="2">
        <f t="shared" si="26"/>
        <v>46383.842623882105</v>
      </c>
      <c r="CB27" s="2">
        <f t="shared" si="26"/>
        <v>45920.004197643284</v>
      </c>
      <c r="CC27" s="2">
        <f t="shared" si="26"/>
        <v>45460.804155666854</v>
      </c>
      <c r="CD27" s="2">
        <f t="shared" si="26"/>
        <v>45006.196114110186</v>
      </c>
      <c r="CE27" s="2">
        <f t="shared" si="26"/>
        <v>44556.134152969084</v>
      </c>
      <c r="CF27" s="2">
        <f t="shared" si="26"/>
        <v>44110.572811439393</v>
      </c>
      <c r="CG27" s="2">
        <f t="shared" si="26"/>
        <v>43669.467083324998</v>
      </c>
      <c r="CH27" s="2">
        <f t="shared" si="26"/>
        <v>43232.772412491751</v>
      </c>
      <c r="CI27" s="2">
        <f t="shared" si="26"/>
        <v>42800.444688366835</v>
      </c>
      <c r="CJ27" s="2">
        <f t="shared" si="26"/>
        <v>42372.440241483164</v>
      </c>
      <c r="CK27" s="2">
        <f t="shared" si="26"/>
        <v>41948.715839068333</v>
      </c>
      <c r="CL27" s="2">
        <f t="shared" si="26"/>
        <v>41529.228680677646</v>
      </c>
      <c r="CM27" s="2">
        <f t="shared" si="26"/>
        <v>41113.93639387087</v>
      </c>
      <c r="CN27" s="2">
        <f t="shared" si="26"/>
        <v>40702.797029932161</v>
      </c>
      <c r="CO27" s="2">
        <f t="shared" si="26"/>
        <v>40295.769059632839</v>
      </c>
      <c r="CP27" s="2">
        <f t="shared" si="26"/>
        <v>39892.811369036513</v>
      </c>
      <c r="CQ27" s="2">
        <f t="shared" si="26"/>
        <v>39493.883255346147</v>
      </c>
      <c r="CR27" s="2">
        <f t="shared" si="26"/>
        <v>39098.944422792687</v>
      </c>
      <c r="CS27" s="2">
        <f t="shared" si="26"/>
        <v>38707.954978564761</v>
      </c>
      <c r="CT27" s="2">
        <f t="shared" si="26"/>
        <v>38320.875428779116</v>
      </c>
      <c r="CU27" s="2">
        <f t="shared" si="26"/>
        <v>37937.666674491324</v>
      </c>
      <c r="CV27" s="2">
        <f t="shared" si="26"/>
        <v>37558.290007746407</v>
      </c>
      <c r="CW27" s="2">
        <f t="shared" si="26"/>
        <v>37182.707107668946</v>
      </c>
      <c r="CX27" s="2">
        <f t="shared" ref="CX27:EH27" si="27">+CW27*(1+$AN$36)</f>
        <v>36810.880036592258</v>
      </c>
      <c r="CY27" s="2">
        <f t="shared" si="27"/>
        <v>36442.771236226334</v>
      </c>
      <c r="CZ27" s="2">
        <f t="shared" si="27"/>
        <v>36078.343523864067</v>
      </c>
      <c r="DA27" s="2">
        <f t="shared" si="27"/>
        <v>35717.560088625425</v>
      </c>
      <c r="DB27" s="2">
        <f t="shared" si="27"/>
        <v>35360.384487739168</v>
      </c>
      <c r="DC27" s="2">
        <f t="shared" si="27"/>
        <v>35006.780642861777</v>
      </c>
      <c r="DD27" s="2">
        <f t="shared" si="27"/>
        <v>34656.712836433158</v>
      </c>
      <c r="DE27" s="2">
        <f t="shared" si="27"/>
        <v>34310.145708068827</v>
      </c>
      <c r="DF27" s="2">
        <f t="shared" si="27"/>
        <v>33967.04425098814</v>
      </c>
      <c r="DG27" s="2">
        <f t="shared" si="27"/>
        <v>33627.37380847826</v>
      </c>
      <c r="DH27" s="2">
        <f t="shared" si="27"/>
        <v>33291.100070393477</v>
      </c>
      <c r="DI27" s="2">
        <f t="shared" si="27"/>
        <v>32958.189069689543</v>
      </c>
      <c r="DJ27" s="2">
        <f t="shared" si="27"/>
        <v>32628.607178992646</v>
      </c>
      <c r="DK27" s="2">
        <f t="shared" si="27"/>
        <v>32302.321107202719</v>
      </c>
      <c r="DL27" s="2">
        <f t="shared" si="27"/>
        <v>31979.297896130691</v>
      </c>
      <c r="DM27" s="2">
        <f t="shared" si="27"/>
        <v>31659.504917169383</v>
      </c>
      <c r="DN27" s="2">
        <f t="shared" si="27"/>
        <v>31342.909867997689</v>
      </c>
      <c r="DO27" s="2">
        <f t="shared" si="27"/>
        <v>31029.48076931771</v>
      </c>
      <c r="DP27" s="2">
        <f t="shared" si="27"/>
        <v>30719.185961624531</v>
      </c>
      <c r="DQ27" s="2">
        <f t="shared" si="27"/>
        <v>30411.994102008284</v>
      </c>
      <c r="DR27" s="2">
        <f t="shared" si="27"/>
        <v>30107.874160988202</v>
      </c>
      <c r="DS27" s="2">
        <f t="shared" si="27"/>
        <v>29806.795419378319</v>
      </c>
      <c r="DT27" s="2">
        <f t="shared" si="27"/>
        <v>29508.727465184536</v>
      </c>
      <c r="DU27" s="2">
        <f t="shared" si="27"/>
        <v>29213.640190532689</v>
      </c>
      <c r="DV27" s="2">
        <f t="shared" si="27"/>
        <v>28921.50378862736</v>
      </c>
      <c r="DW27" s="2">
        <f t="shared" si="27"/>
        <v>28632.288750741085</v>
      </c>
      <c r="DX27" s="2">
        <f t="shared" si="27"/>
        <v>28345.965863233672</v>
      </c>
      <c r="DY27" s="2">
        <f t="shared" si="27"/>
        <v>28062.506204601334</v>
      </c>
      <c r="DZ27" s="2">
        <f t="shared" si="27"/>
        <v>27781.881142555321</v>
      </c>
      <c r="EA27" s="2">
        <f t="shared" si="27"/>
        <v>27504.062331129768</v>
      </c>
      <c r="EB27" s="2">
        <f t="shared" si="27"/>
        <v>27229.021707818469</v>
      </c>
      <c r="EC27" s="2">
        <f t="shared" si="27"/>
        <v>26956.731490740283</v>
      </c>
      <c r="ED27" s="2">
        <f t="shared" si="27"/>
        <v>26687.164175832881</v>
      </c>
      <c r="EE27" s="2">
        <f t="shared" si="27"/>
        <v>26420.292534074553</v>
      </c>
      <c r="EF27" s="2">
        <f t="shared" si="27"/>
        <v>26156.089608733808</v>
      </c>
      <c r="EG27" s="2">
        <f t="shared" si="27"/>
        <v>25894.528712646468</v>
      </c>
      <c r="EH27" s="2">
        <f t="shared" si="27"/>
        <v>25635.583425520002</v>
      </c>
    </row>
    <row r="28" spans="2:138" s="6" customFormat="1" x14ac:dyDescent="0.2">
      <c r="B28" s="6" t="s">
        <v>34</v>
      </c>
      <c r="C28" s="6">
        <f t="shared" ref="C28:F28" si="28">+C27/C29</f>
        <v>3.0481171548117154</v>
      </c>
      <c r="D28" s="6">
        <f t="shared" si="28"/>
        <v>3.0189673340358274</v>
      </c>
      <c r="E28" s="6">
        <f t="shared" si="28"/>
        <v>3.5429480381760339</v>
      </c>
      <c r="F28" s="6">
        <f t="shared" si="28"/>
        <v>3.4262820512820511</v>
      </c>
      <c r="G28" s="6">
        <f t="shared" ref="G28:H28" si="29">+G27/G29</f>
        <v>3.474866310160428</v>
      </c>
      <c r="H28" s="6">
        <f t="shared" si="29"/>
        <v>3.7903225806451615</v>
      </c>
      <c r="I28" s="6">
        <f t="shared" ref="I28:J28" si="30">+I27/I29</f>
        <v>3.9383783783783786</v>
      </c>
      <c r="J28" s="6">
        <f t="shared" si="30"/>
        <v>4.0370370370370372</v>
      </c>
      <c r="P28" s="6">
        <f t="shared" ref="P28:AK28" si="31">+P27/P29</f>
        <v>8.2992047713717696</v>
      </c>
      <c r="Q28" s="6">
        <f t="shared" si="31"/>
        <v>6.963220675944334</v>
      </c>
      <c r="R28" s="6">
        <f t="shared" si="31"/>
        <v>8.9223790322580641</v>
      </c>
      <c r="S28" s="6">
        <f t="shared" si="31"/>
        <v>11.428424304840371</v>
      </c>
      <c r="T28" s="6">
        <f t="shared" si="31"/>
        <v>13.030655391120508</v>
      </c>
      <c r="U28" s="6">
        <f t="shared" si="31"/>
        <v>15.235167206040993</v>
      </c>
      <c r="V28" s="6">
        <f t="shared" si="31"/>
        <v>16.102825336427923</v>
      </c>
      <c r="W28" s="6">
        <f t="shared" si="31"/>
        <v>17.771716190094423</v>
      </c>
      <c r="X28" s="6">
        <f t="shared" si="31"/>
        <v>20.135586473056375</v>
      </c>
      <c r="Y28" s="6">
        <f t="shared" si="31"/>
        <v>22.767707427131405</v>
      </c>
      <c r="Z28" s="6">
        <f t="shared" si="31"/>
        <v>25.697020689406912</v>
      </c>
      <c r="AA28" s="6">
        <f t="shared" si="31"/>
        <v>28.955527581134483</v>
      </c>
      <c r="AB28" s="6">
        <f t="shared" si="31"/>
        <v>32.578609359446624</v>
      </c>
      <c r="AC28" s="6">
        <f t="shared" si="31"/>
        <v>36.605380789485011</v>
      </c>
      <c r="AD28" s="6">
        <f t="shared" si="31"/>
        <v>41.079080489219614</v>
      </c>
      <c r="AE28" s="6">
        <f t="shared" si="31"/>
        <v>46.047501855756153</v>
      </c>
      <c r="AF28" s="6">
        <f t="shared" si="31"/>
        <v>51.563468775166058</v>
      </c>
      <c r="AG28" s="6">
        <f t="shared" si="31"/>
        <v>57.6853607516015</v>
      </c>
      <c r="AH28" s="6">
        <f t="shared" si="31"/>
        <v>64.477692569838354</v>
      </c>
      <c r="AI28" s="6">
        <f t="shared" si="31"/>
        <v>72.011754133008566</v>
      </c>
      <c r="AJ28" s="6">
        <f t="shared" si="31"/>
        <v>80.366316699197355</v>
      </c>
      <c r="AK28" s="6">
        <f t="shared" si="31"/>
        <v>89.628412382364587</v>
      </c>
    </row>
    <row r="29" spans="2:138" s="2" customFormat="1" x14ac:dyDescent="0.2">
      <c r="B29" s="2" t="s">
        <v>2</v>
      </c>
      <c r="C29" s="2">
        <v>956</v>
      </c>
      <c r="D29" s="2">
        <v>949</v>
      </c>
      <c r="E29" s="2">
        <v>943</v>
      </c>
      <c r="F29" s="2">
        <f>+(T29*4)-SUM(C29:E29)</f>
        <v>936</v>
      </c>
      <c r="G29" s="2">
        <v>935</v>
      </c>
      <c r="H29" s="2">
        <v>930</v>
      </c>
      <c r="I29" s="2">
        <v>925</v>
      </c>
      <c r="J29" s="2">
        <f>+(U29*4)-SUM(G29:I29)</f>
        <v>918</v>
      </c>
      <c r="P29" s="2">
        <v>1006</v>
      </c>
      <c r="Q29" s="2">
        <v>1006</v>
      </c>
      <c r="R29" s="2">
        <v>992</v>
      </c>
      <c r="S29" s="2">
        <v>971</v>
      </c>
      <c r="T29" s="2">
        <v>946</v>
      </c>
      <c r="U29" s="2">
        <v>927</v>
      </c>
      <c r="V29" s="2">
        <f t="shared" ref="V29:AK29" si="32">+U29*0.99</f>
        <v>917.73</v>
      </c>
      <c r="W29" s="2">
        <f t="shared" si="32"/>
        <v>908.55269999999996</v>
      </c>
      <c r="X29" s="2">
        <f t="shared" si="32"/>
        <v>899.467173</v>
      </c>
      <c r="Y29" s="2">
        <f t="shared" si="32"/>
        <v>890.47250126999995</v>
      </c>
      <c r="Z29" s="2">
        <f t="shared" si="32"/>
        <v>881.5677762572999</v>
      </c>
      <c r="AA29" s="2">
        <f t="shared" si="32"/>
        <v>872.75209849472685</v>
      </c>
      <c r="AB29" s="2">
        <f t="shared" si="32"/>
        <v>864.02457750977953</v>
      </c>
      <c r="AC29" s="2">
        <f t="shared" si="32"/>
        <v>855.38433173468172</v>
      </c>
      <c r="AD29" s="2">
        <f t="shared" si="32"/>
        <v>846.83048841733489</v>
      </c>
      <c r="AE29" s="2">
        <f t="shared" si="32"/>
        <v>838.36218353316156</v>
      </c>
      <c r="AF29" s="2">
        <f t="shared" si="32"/>
        <v>829.97856169782995</v>
      </c>
      <c r="AG29" s="2">
        <f t="shared" si="32"/>
        <v>821.67877608085166</v>
      </c>
      <c r="AH29" s="2">
        <f t="shared" si="32"/>
        <v>813.46198832004313</v>
      </c>
      <c r="AI29" s="2">
        <f t="shared" si="32"/>
        <v>805.32736843684268</v>
      </c>
      <c r="AJ29" s="2">
        <f t="shared" si="32"/>
        <v>797.2740947524743</v>
      </c>
      <c r="AK29" s="2">
        <f t="shared" si="32"/>
        <v>789.3013538049496</v>
      </c>
    </row>
    <row r="30" spans="2:138" s="2" customFormat="1" x14ac:dyDescent="0.2"/>
    <row r="31" spans="2:138" s="5" customFormat="1" x14ac:dyDescent="0.2">
      <c r="B31" s="5" t="s">
        <v>33</v>
      </c>
      <c r="C31" s="5">
        <f t="shared" ref="C31:J31" si="33">+C22/C18</f>
        <v>0.6155184411969381</v>
      </c>
      <c r="D31" s="5">
        <f t="shared" si="33"/>
        <v>0.6170043069070027</v>
      </c>
      <c r="E31" s="5">
        <f t="shared" si="33"/>
        <v>0.62069493341497017</v>
      </c>
      <c r="F31" s="5">
        <f t="shared" si="33"/>
        <v>0.59331093463653028</v>
      </c>
      <c r="G31" s="5">
        <f t="shared" si="33"/>
        <v>0.62161310649023316</v>
      </c>
      <c r="H31" s="5">
        <f t="shared" si="33"/>
        <v>0.62620313173394626</v>
      </c>
      <c r="I31" s="5">
        <f t="shared" si="33"/>
        <v>0.59777446057809747</v>
      </c>
      <c r="J31" s="5">
        <f t="shared" si="33"/>
        <v>0.59407130458005075</v>
      </c>
      <c r="P31" s="5">
        <f t="shared" ref="P31:AK31" si="34">+P22/P18</f>
        <v>0.60332879227625424</v>
      </c>
      <c r="Q31" s="5">
        <f t="shared" si="34"/>
        <v>0.57081236520488854</v>
      </c>
      <c r="R31" s="5">
        <f t="shared" si="34"/>
        <v>0.57731412836263507</v>
      </c>
      <c r="S31" s="5">
        <f t="shared" si="34"/>
        <v>0.60125016863785585</v>
      </c>
      <c r="T31" s="5">
        <f t="shared" si="34"/>
        <v>0.61144314287991075</v>
      </c>
      <c r="U31" s="5">
        <f t="shared" si="34"/>
        <v>0.6091880569460717</v>
      </c>
      <c r="V31" s="5">
        <f t="shared" si="34"/>
        <v>0.61410076141545034</v>
      </c>
      <c r="W31" s="5">
        <f t="shared" si="34"/>
        <v>0.6188953342585507</v>
      </c>
      <c r="X31" s="5">
        <f t="shared" si="34"/>
        <v>0.62357688095504915</v>
      </c>
      <c r="Y31" s="5">
        <f t="shared" si="34"/>
        <v>0.62815023876719633</v>
      </c>
      <c r="Z31" s="5">
        <f t="shared" si="34"/>
        <v>0.63261999138648084</v>
      </c>
      <c r="AA31" s="5">
        <f t="shared" si="34"/>
        <v>0.63699048277513526</v>
      </c>
      <c r="AB31" s="5">
        <f t="shared" si="34"/>
        <v>0.64126583024679085</v>
      </c>
      <c r="AC31" s="5">
        <f t="shared" si="34"/>
        <v>0.64544993682815754</v>
      </c>
      <c r="AD31" s="5">
        <f t="shared" si="34"/>
        <v>0.64954650294129213</v>
      </c>
      <c r="AE31" s="5">
        <f t="shared" si="34"/>
        <v>0.65355903744384758</v>
      </c>
      <c r="AF31" s="5">
        <f t="shared" si="34"/>
        <v>0.65749086806263102</v>
      </c>
      <c r="AG31" s="5">
        <f t="shared" si="34"/>
        <v>0.66134515125385818</v>
      </c>
      <c r="AH31" s="5">
        <f t="shared" si="34"/>
        <v>0.66512488152165439</v>
      </c>
      <c r="AI31" s="5">
        <f t="shared" si="34"/>
        <v>0.66883290022461173</v>
      </c>
      <c r="AJ31" s="5">
        <f t="shared" si="34"/>
        <v>0.67247190389857436</v>
      </c>
      <c r="AK31" s="5">
        <f t="shared" si="34"/>
        <v>0.67604445212227349</v>
      </c>
    </row>
    <row r="32" spans="2:138" s="5" customFormat="1" x14ac:dyDescent="0.2">
      <c r="B32" s="5" t="s">
        <v>32</v>
      </c>
      <c r="C32" s="5">
        <f t="shared" ref="C32:J32" si="35">+C27/C18</f>
        <v>0.50695894224077942</v>
      </c>
      <c r="D32" s="5">
        <f t="shared" si="35"/>
        <v>0.4570106875099697</v>
      </c>
      <c r="E32" s="5">
        <f t="shared" si="35"/>
        <v>0.51140364304301245</v>
      </c>
      <c r="F32" s="5">
        <f t="shared" si="35"/>
        <v>0.48976786805131339</v>
      </c>
      <c r="G32" s="5">
        <f t="shared" si="35"/>
        <v>0.51181474480151223</v>
      </c>
      <c r="H32" s="5">
        <f t="shared" si="35"/>
        <v>0.50639275966096831</v>
      </c>
      <c r="I32" s="5">
        <f t="shared" si="35"/>
        <v>0.49436829963360024</v>
      </c>
      <c r="J32" s="5">
        <f t="shared" si="35"/>
        <v>0.49485912671918814</v>
      </c>
      <c r="P32" s="5">
        <f t="shared" ref="P32:AK32" si="36">+P27/P18</f>
        <v>0.49452111591541786</v>
      </c>
      <c r="Q32" s="5">
        <f t="shared" si="36"/>
        <v>0.4578132148225606</v>
      </c>
      <c r="R32" s="5">
        <f t="shared" si="36"/>
        <v>0.46870366447786488</v>
      </c>
      <c r="S32" s="5">
        <f t="shared" si="36"/>
        <v>0.49903314295993162</v>
      </c>
      <c r="T32" s="5">
        <f t="shared" si="36"/>
        <v>0.49115467367917764</v>
      </c>
      <c r="U32" s="5">
        <f t="shared" si="36"/>
        <v>0.50140235026804414</v>
      </c>
      <c r="V32" s="5">
        <f t="shared" si="36"/>
        <v>0.48133774528915507</v>
      </c>
      <c r="W32" s="5">
        <f t="shared" si="36"/>
        <v>0.48248731818590834</v>
      </c>
      <c r="X32" s="5">
        <f t="shared" si="36"/>
        <v>0.49651173083333244</v>
      </c>
      <c r="Y32" s="5">
        <f t="shared" si="36"/>
        <v>0.50990964753604429</v>
      </c>
      <c r="Z32" s="5">
        <f t="shared" si="36"/>
        <v>0.52271552344235195</v>
      </c>
      <c r="AA32" s="5">
        <f t="shared" si="36"/>
        <v>0.53496183841807488</v>
      </c>
      <c r="AB32" s="5">
        <f t="shared" si="36"/>
        <v>0.54667921128000185</v>
      </c>
      <c r="AC32" s="5">
        <f t="shared" si="36"/>
        <v>0.55789650740132346</v>
      </c>
      <c r="AD32" s="5">
        <f t="shared" si="36"/>
        <v>0.56864094007452837</v>
      </c>
      <c r="AE32" s="5">
        <f t="shared" si="36"/>
        <v>0.57893816599478753</v>
      </c>
      <c r="AF32" s="5">
        <f t="shared" si="36"/>
        <v>0.58881237520568674</v>
      </c>
      <c r="AG32" s="5">
        <f t="shared" si="36"/>
        <v>0.59828637582925026</v>
      </c>
      <c r="AH32" s="5">
        <f t="shared" si="36"/>
        <v>0.60738167388343889</v>
      </c>
      <c r="AI32" s="5">
        <f t="shared" si="36"/>
        <v>0.61611854847264158</v>
      </c>
      <c r="AJ32" s="5">
        <f t="shared" si="36"/>
        <v>0.6245161226200483</v>
      </c>
      <c r="AK32" s="5">
        <f t="shared" si="36"/>
        <v>0.63259242999513055</v>
      </c>
    </row>
    <row r="33" spans="2:40" s="5" customFormat="1" x14ac:dyDescent="0.2">
      <c r="B33" s="5" t="s">
        <v>31</v>
      </c>
      <c r="C33" s="5">
        <f t="shared" ref="C33:J33" si="37">+C26/C25</f>
        <v>0.1444509688784498</v>
      </c>
      <c r="D33" s="5">
        <f t="shared" si="37"/>
        <v>0.23066595059076261</v>
      </c>
      <c r="E33" s="5">
        <f t="shared" si="37"/>
        <v>0.1442110655737705</v>
      </c>
      <c r="F33" s="5">
        <f t="shared" si="37"/>
        <v>0.14182499331014181</v>
      </c>
      <c r="G33" s="5">
        <f t="shared" si="37"/>
        <v>0.1440990516332982</v>
      </c>
      <c r="H33" s="5">
        <f t="shared" si="37"/>
        <v>0.16191155492154066</v>
      </c>
      <c r="I33" s="5">
        <f t="shared" si="37"/>
        <v>0.1420160150730099</v>
      </c>
      <c r="J33" s="5">
        <f t="shared" si="37"/>
        <v>0.13106682297772568</v>
      </c>
      <c r="P33" s="5">
        <f t="shared" ref="P33:AK33" si="38">+P26/P25</f>
        <v>0.16191527805661513</v>
      </c>
      <c r="Q33" s="5">
        <f t="shared" si="38"/>
        <v>0.161479530763706</v>
      </c>
      <c r="R33" s="5">
        <f t="shared" si="38"/>
        <v>0.15471301690382963</v>
      </c>
      <c r="S33" s="5">
        <f t="shared" si="38"/>
        <v>0.13970075199627879</v>
      </c>
      <c r="T33" s="5">
        <f t="shared" si="38"/>
        <v>0.16545934601584186</v>
      </c>
      <c r="U33" s="5">
        <f t="shared" si="38"/>
        <v>0.14473445164415916</v>
      </c>
      <c r="V33" s="5">
        <f t="shared" si="38"/>
        <v>0.2</v>
      </c>
      <c r="W33" s="5">
        <f t="shared" si="38"/>
        <v>0.2</v>
      </c>
      <c r="X33" s="5">
        <f t="shared" si="38"/>
        <v>0.2</v>
      </c>
      <c r="Y33" s="5">
        <f t="shared" si="38"/>
        <v>0.2</v>
      </c>
      <c r="Z33" s="5">
        <f t="shared" si="38"/>
        <v>0.2</v>
      </c>
      <c r="AA33" s="5">
        <f t="shared" si="38"/>
        <v>0.2</v>
      </c>
      <c r="AB33" s="5">
        <f t="shared" si="38"/>
        <v>0.2</v>
      </c>
      <c r="AC33" s="5">
        <f t="shared" si="38"/>
        <v>0.2</v>
      </c>
      <c r="AD33" s="5">
        <f t="shared" si="38"/>
        <v>0.2</v>
      </c>
      <c r="AE33" s="5">
        <f t="shared" si="38"/>
        <v>0.2</v>
      </c>
      <c r="AF33" s="5">
        <f t="shared" si="38"/>
        <v>0.2</v>
      </c>
      <c r="AG33" s="5">
        <f t="shared" si="38"/>
        <v>0.2</v>
      </c>
      <c r="AH33" s="5">
        <f t="shared" si="38"/>
        <v>0.2</v>
      </c>
      <c r="AI33" s="5">
        <f t="shared" si="38"/>
        <v>0.2</v>
      </c>
      <c r="AJ33" s="5">
        <f t="shared" si="38"/>
        <v>0.2</v>
      </c>
      <c r="AK33" s="5">
        <f t="shared" si="38"/>
        <v>0.2</v>
      </c>
    </row>
    <row r="34" spans="2:40" s="2" customFormat="1" x14ac:dyDescent="0.2"/>
    <row r="35" spans="2:40" s="7" customFormat="1" x14ac:dyDescent="0.2">
      <c r="B35" s="7" t="s">
        <v>30</v>
      </c>
      <c r="G35" s="7">
        <f>+G18/C18-1</f>
        <v>0.10438413361169108</v>
      </c>
      <c r="H35" s="7">
        <f>+H18/D18-1</f>
        <v>0.11038443132876052</v>
      </c>
      <c r="I35" s="7">
        <f>+I18/E18-1</f>
        <v>0.1279657125363538</v>
      </c>
      <c r="J35" s="7">
        <f>+J18/F18-1</f>
        <v>0.14370800244349424</v>
      </c>
      <c r="Q35" s="7">
        <f t="shared" ref="Q35:AK35" si="39">+Q18/P18-1</f>
        <v>-9.3703725641177571E-2</v>
      </c>
      <c r="R35" s="7">
        <f t="shared" si="39"/>
        <v>0.23416770145742105</v>
      </c>
      <c r="S35" s="7">
        <f t="shared" si="39"/>
        <v>0.17755772082185972</v>
      </c>
      <c r="T35" s="7">
        <f t="shared" si="39"/>
        <v>0.1286594414714215</v>
      </c>
      <c r="U35" s="7">
        <f t="shared" si="39"/>
        <v>0.12228065981353087</v>
      </c>
      <c r="V35" s="7">
        <f t="shared" si="39"/>
        <v>9.000000000000008E-2</v>
      </c>
      <c r="W35" s="7">
        <f t="shared" si="39"/>
        <v>9.000000000000008E-2</v>
      </c>
      <c r="X35" s="7">
        <f t="shared" si="39"/>
        <v>9.000000000000008E-2</v>
      </c>
      <c r="Y35" s="7">
        <f t="shared" si="39"/>
        <v>9.000000000000008E-2</v>
      </c>
      <c r="Z35" s="7">
        <f t="shared" si="39"/>
        <v>9.000000000000008E-2</v>
      </c>
      <c r="AA35" s="7">
        <f t="shared" si="39"/>
        <v>9.000000000000008E-2</v>
      </c>
      <c r="AB35" s="7">
        <f t="shared" si="39"/>
        <v>9.000000000000008E-2</v>
      </c>
      <c r="AC35" s="7">
        <f t="shared" si="39"/>
        <v>9.000000000000008E-2</v>
      </c>
      <c r="AD35" s="7">
        <f t="shared" si="39"/>
        <v>9.000000000000008E-2</v>
      </c>
      <c r="AE35" s="7">
        <f t="shared" si="39"/>
        <v>9.000000000000008E-2</v>
      </c>
      <c r="AF35" s="7">
        <f t="shared" si="39"/>
        <v>9.000000000000008E-2</v>
      </c>
      <c r="AG35" s="7">
        <f t="shared" si="39"/>
        <v>9.000000000000008E-2</v>
      </c>
      <c r="AH35" s="7">
        <f t="shared" si="39"/>
        <v>9.000000000000008E-2</v>
      </c>
      <c r="AI35" s="7">
        <f t="shared" si="39"/>
        <v>9.000000000000008E-2</v>
      </c>
      <c r="AJ35" s="7">
        <f t="shared" si="39"/>
        <v>9.000000000000008E-2</v>
      </c>
      <c r="AK35" s="7">
        <f t="shared" si="39"/>
        <v>9.000000000000008E-2</v>
      </c>
    </row>
    <row r="36" spans="2:40" s="2" customFormat="1" x14ac:dyDescent="0.2">
      <c r="AM36" s="2" t="s">
        <v>29</v>
      </c>
      <c r="AN36" s="5">
        <v>-0.01</v>
      </c>
    </row>
    <row r="37" spans="2:40" x14ac:dyDescent="0.2">
      <c r="U37" s="5"/>
      <c r="AM37" s="2" t="s">
        <v>28</v>
      </c>
      <c r="AN37" s="5">
        <v>0.08</v>
      </c>
    </row>
    <row r="38" spans="2:40" s="2" customFormat="1" x14ac:dyDescent="0.2">
      <c r="B38" s="2" t="s">
        <v>27</v>
      </c>
      <c r="C38" s="2">
        <v>1919</v>
      </c>
      <c r="D38" s="2">
        <f>4617-C38</f>
        <v>2698</v>
      </c>
      <c r="E38" s="2">
        <f>7850-SUM(C38:D38)</f>
        <v>3233</v>
      </c>
      <c r="F38" s="2">
        <f>+T38-SUM(C38:E38)</f>
        <v>4130</v>
      </c>
      <c r="G38" s="2">
        <v>1672</v>
      </c>
      <c r="H38" s="2">
        <f>4810-G38</f>
        <v>3138</v>
      </c>
      <c r="I38" s="2">
        <f>9946-SUM(G38:H38)</f>
        <v>5136</v>
      </c>
      <c r="J38" s="2">
        <f>+U38-SUM(G38:I38)</f>
        <v>4834</v>
      </c>
      <c r="P38" s="2">
        <v>8183</v>
      </c>
      <c r="Q38" s="2">
        <v>7224</v>
      </c>
      <c r="R38" s="2">
        <v>9463</v>
      </c>
      <c r="S38" s="2">
        <v>11195</v>
      </c>
      <c r="T38" s="2">
        <v>11980</v>
      </c>
      <c r="U38" s="2">
        <v>14780</v>
      </c>
      <c r="AM38" s="2" t="s">
        <v>26</v>
      </c>
      <c r="AN38" s="2">
        <f>+NPV(AN37,V27:EH27)+Main!L6-Main!L7</f>
        <v>491484.39500444877</v>
      </c>
    </row>
    <row r="39" spans="2:40" x14ac:dyDescent="0.2">
      <c r="B39" t="s">
        <v>25</v>
      </c>
      <c r="C39">
        <v>-110</v>
      </c>
      <c r="D39">
        <f>-190-C39</f>
        <v>-80</v>
      </c>
      <c r="E39">
        <f>-294-SUM(C39:D39)</f>
        <v>-104</v>
      </c>
      <c r="F39" s="2">
        <f>+T39-SUM(C39:E39)</f>
        <v>-77</v>
      </c>
      <c r="G39">
        <v>-157</v>
      </c>
      <c r="H39">
        <f>-272-G39</f>
        <v>-115</v>
      </c>
      <c r="I39">
        <f>-379-SUM(G39:H39)</f>
        <v>-107</v>
      </c>
      <c r="J39" s="2">
        <f>+U39-SUM(G39:I39)</f>
        <v>-95</v>
      </c>
      <c r="P39">
        <v>-422</v>
      </c>
      <c r="Q39">
        <v>-339</v>
      </c>
      <c r="R39">
        <v>-407</v>
      </c>
      <c r="S39">
        <v>-442</v>
      </c>
      <c r="T39">
        <v>-371</v>
      </c>
      <c r="U39">
        <v>-474</v>
      </c>
      <c r="AM39" s="6" t="s">
        <v>2</v>
      </c>
      <c r="AN39" s="2">
        <f>+AN38/Main!L4</f>
        <v>539.08062913745459</v>
      </c>
    </row>
    <row r="40" spans="2:40" x14ac:dyDescent="0.2">
      <c r="B40" t="s">
        <v>7</v>
      </c>
      <c r="C40" s="2">
        <f>+C38+C39</f>
        <v>1809</v>
      </c>
      <c r="D40" s="2">
        <f t="shared" ref="D40:J40" si="40">+D38+D39</f>
        <v>2618</v>
      </c>
      <c r="E40" s="2">
        <f t="shared" si="40"/>
        <v>3129</v>
      </c>
      <c r="F40" s="2">
        <f t="shared" si="40"/>
        <v>4053</v>
      </c>
      <c r="G40" s="2">
        <f t="shared" si="40"/>
        <v>1515</v>
      </c>
      <c r="H40" s="2">
        <f t="shared" si="40"/>
        <v>3023</v>
      </c>
      <c r="I40" s="2">
        <f t="shared" si="40"/>
        <v>5029</v>
      </c>
      <c r="J40" s="2">
        <f t="shared" si="40"/>
        <v>4739</v>
      </c>
      <c r="P40" s="2">
        <f t="shared" ref="P40:U40" si="41">+P38+P39</f>
        <v>7761</v>
      </c>
      <c r="Q40" s="2">
        <f t="shared" si="41"/>
        <v>6885</v>
      </c>
      <c r="R40" s="2">
        <f t="shared" si="41"/>
        <v>9056</v>
      </c>
      <c r="S40" s="2">
        <f t="shared" si="41"/>
        <v>10753</v>
      </c>
      <c r="T40" s="2">
        <f t="shared" si="41"/>
        <v>11609</v>
      </c>
      <c r="U40" s="2">
        <f t="shared" si="41"/>
        <v>14306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M40" s="2" t="s">
        <v>84</v>
      </c>
      <c r="AN40" s="5">
        <f>+AN39/Main!L3-1</f>
        <v>4.4952662655710629E-2</v>
      </c>
    </row>
    <row r="41" spans="2:40" x14ac:dyDescent="0.2"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M41" s="2"/>
      <c r="AN41" s="6"/>
    </row>
    <row r="42" spans="2:40" x14ac:dyDescent="0.2">
      <c r="P42" s="2"/>
      <c r="Q42" s="2"/>
      <c r="R42" s="2"/>
      <c r="S42" s="2"/>
      <c r="T42" s="2"/>
      <c r="U42" s="5"/>
      <c r="V42" s="2"/>
      <c r="W42" s="2"/>
      <c r="X42" s="2"/>
      <c r="Y42" s="2"/>
      <c r="Z42" s="2"/>
      <c r="AA42" s="2"/>
      <c r="AB42" s="2"/>
      <c r="AC42" s="2"/>
      <c r="AD42" s="2"/>
      <c r="AE42" s="2"/>
      <c r="AM42" s="5"/>
      <c r="AN42" s="6"/>
    </row>
    <row r="43" spans="2:40" x14ac:dyDescent="0.2">
      <c r="B43" t="s">
        <v>24</v>
      </c>
      <c r="U43" s="2">
        <f>+U44+U45+U46-U58-U61</f>
        <v>-8962</v>
      </c>
      <c r="V43" s="2">
        <f t="shared" ref="V43:AK43" si="42">+U43+V27</f>
        <v>5816.0458959999996</v>
      </c>
      <c r="W43" s="2">
        <f t="shared" si="42"/>
        <v>21962.586624144002</v>
      </c>
      <c r="X43" s="2">
        <f t="shared" si="42"/>
        <v>40073.885665761059</v>
      </c>
      <c r="Y43" s="2">
        <f t="shared" si="42"/>
        <v>60347.903046582316</v>
      </c>
      <c r="Z43" s="2">
        <f t="shared" si="42"/>
        <v>83001.568432180589</v>
      </c>
      <c r="AA43" s="2">
        <f t="shared" si="42"/>
        <v>108272.56589163766</v>
      </c>
      <c r="AB43" s="2">
        <f t="shared" si="42"/>
        <v>136421.28507928966</v>
      </c>
      <c r="AC43" s="2">
        <f t="shared" si="42"/>
        <v>167732.95426379686</v>
      </c>
      <c r="AD43" s="2">
        <f t="shared" si="42"/>
        <v>202519.97205821771</v>
      </c>
      <c r="AE43" s="2">
        <f t="shared" si="42"/>
        <v>241124.45626025676</v>
      </c>
      <c r="AF43" s="2">
        <f t="shared" si="42"/>
        <v>283921.02991042007</v>
      </c>
      <c r="AG43" s="2">
        <f t="shared" si="42"/>
        <v>331319.86653057841</v>
      </c>
      <c r="AH43" s="2">
        <f t="shared" si="42"/>
        <v>383770.0185307276</v>
      </c>
      <c r="AI43" s="2">
        <f t="shared" si="42"/>
        <v>441763.05498318432</v>
      </c>
      <c r="AJ43" s="2">
        <f t="shared" si="42"/>
        <v>505837.03737812757</v>
      </c>
      <c r="AK43" s="2">
        <f t="shared" si="42"/>
        <v>576580.86461091624</v>
      </c>
      <c r="AM43" s="2"/>
      <c r="AN43" s="5"/>
    </row>
    <row r="44" spans="2:40" x14ac:dyDescent="0.2">
      <c r="B44" t="s">
        <v>4</v>
      </c>
      <c r="U44" s="2">
        <f>8442+330</f>
        <v>8772</v>
      </c>
    </row>
    <row r="45" spans="2:40" x14ac:dyDescent="0.2">
      <c r="B45" t="s">
        <v>23</v>
      </c>
      <c r="U45" s="2">
        <v>492</v>
      </c>
    </row>
    <row r="46" spans="2:40" x14ac:dyDescent="0.2">
      <c r="B46" t="s">
        <v>15</v>
      </c>
      <c r="U46" s="2">
        <v>1874</v>
      </c>
    </row>
    <row r="47" spans="2:40" x14ac:dyDescent="0.2">
      <c r="B47" t="s">
        <v>22</v>
      </c>
      <c r="U47" s="2">
        <v>3773</v>
      </c>
    </row>
    <row r="48" spans="2:40" x14ac:dyDescent="0.2">
      <c r="B48" t="s">
        <v>16</v>
      </c>
      <c r="U48" s="2">
        <v>1821</v>
      </c>
    </row>
    <row r="49" spans="2:21" x14ac:dyDescent="0.2">
      <c r="B49" t="s">
        <v>21</v>
      </c>
      <c r="U49" s="2">
        <v>2992</v>
      </c>
    </row>
    <row r="50" spans="2:21" x14ac:dyDescent="0.2">
      <c r="B50" t="s">
        <v>20</v>
      </c>
      <c r="U50" s="2">
        <v>2138</v>
      </c>
    </row>
    <row r="51" spans="2:21" x14ac:dyDescent="0.2">
      <c r="B51" t="s">
        <v>12</v>
      </c>
      <c r="U51" s="2">
        <v>1614</v>
      </c>
    </row>
    <row r="52" spans="2:21" x14ac:dyDescent="0.2">
      <c r="B52" t="s">
        <v>19</v>
      </c>
      <c r="U52" s="2">
        <f>9193+5453</f>
        <v>14646</v>
      </c>
    </row>
    <row r="53" spans="2:21" x14ac:dyDescent="0.2">
      <c r="B53" t="s">
        <v>11</v>
      </c>
      <c r="U53" s="2">
        <v>9959</v>
      </c>
    </row>
    <row r="54" spans="2:21" s="1" customFormat="1" x14ac:dyDescent="0.2">
      <c r="B54" s="1" t="s">
        <v>18</v>
      </c>
      <c r="U54" s="4">
        <f>+SUM(U44:U53)</f>
        <v>48081</v>
      </c>
    </row>
    <row r="56" spans="2:21" x14ac:dyDescent="0.2">
      <c r="B56" t="s">
        <v>17</v>
      </c>
      <c r="U56" s="2">
        <v>929</v>
      </c>
    </row>
    <row r="57" spans="2:21" x14ac:dyDescent="0.2">
      <c r="B57" t="s">
        <v>16</v>
      </c>
      <c r="U57" s="2">
        <v>2316</v>
      </c>
    </row>
    <row r="58" spans="2:21" x14ac:dyDescent="0.2">
      <c r="B58" t="s">
        <v>15</v>
      </c>
      <c r="U58" s="2">
        <v>1874</v>
      </c>
    </row>
    <row r="59" spans="2:21" x14ac:dyDescent="0.2">
      <c r="B59" t="s">
        <v>14</v>
      </c>
      <c r="U59" s="2">
        <v>930</v>
      </c>
    </row>
    <row r="60" spans="2:21" x14ac:dyDescent="0.2">
      <c r="B60" t="s">
        <v>13</v>
      </c>
      <c r="U60" s="2">
        <v>10393</v>
      </c>
    </row>
    <row r="61" spans="2:21" x14ac:dyDescent="0.2">
      <c r="B61" t="s">
        <v>5</v>
      </c>
      <c r="U61" s="2">
        <f>750+17476</f>
        <v>18226</v>
      </c>
    </row>
    <row r="62" spans="2:21" x14ac:dyDescent="0.2">
      <c r="B62" t="s">
        <v>11</v>
      </c>
      <c r="U62" s="2">
        <v>2028</v>
      </c>
    </row>
    <row r="63" spans="2:21" x14ac:dyDescent="0.2">
      <c r="B63" t="s">
        <v>12</v>
      </c>
      <c r="U63" s="2">
        <v>317</v>
      </c>
    </row>
    <row r="64" spans="2:21" x14ac:dyDescent="0.2">
      <c r="B64" t="s">
        <v>11</v>
      </c>
      <c r="U64" s="2">
        <v>4553</v>
      </c>
    </row>
    <row r="65" spans="2:21" s="1" customFormat="1" x14ac:dyDescent="0.2">
      <c r="B65" s="1" t="s">
        <v>10</v>
      </c>
      <c r="U65" s="4">
        <f>+SUM(U56:U64)</f>
        <v>41566</v>
      </c>
    </row>
    <row r="66" spans="2:21" x14ac:dyDescent="0.2">
      <c r="B66" t="s">
        <v>9</v>
      </c>
      <c r="U66" s="2">
        <v>6515</v>
      </c>
    </row>
    <row r="67" spans="2:21" x14ac:dyDescent="0.2">
      <c r="B67" t="s">
        <v>8</v>
      </c>
      <c r="U67" s="2">
        <f>+U66+U65</f>
        <v>48081</v>
      </c>
    </row>
    <row r="68" spans="2:21" x14ac:dyDescent="0.2">
      <c r="U68" s="2"/>
    </row>
    <row r="69" spans="2:21" x14ac:dyDescent="0.2">
      <c r="B69" t="s">
        <v>98</v>
      </c>
      <c r="U69" s="2">
        <f>+U27</f>
        <v>14123</v>
      </c>
    </row>
    <row r="70" spans="2:21" s="5" customFormat="1" x14ac:dyDescent="0.2">
      <c r="B70" s="5" t="s">
        <v>99</v>
      </c>
      <c r="U70" s="5">
        <f>+U69/(+U46+U47+U48+U49+U50+U51+U53)</f>
        <v>0.58429522982085969</v>
      </c>
    </row>
    <row r="72" spans="2:21" x14ac:dyDescent="0.2">
      <c r="B72" t="s">
        <v>53</v>
      </c>
      <c r="T72" s="2">
        <f>+T27</f>
        <v>12327</v>
      </c>
      <c r="U72" s="2">
        <f>+U27</f>
        <v>14123</v>
      </c>
    </row>
    <row r="73" spans="2:21" s="2" customFormat="1" x14ac:dyDescent="0.2">
      <c r="B73" s="2" t="s">
        <v>54</v>
      </c>
      <c r="T73" s="2">
        <v>11195</v>
      </c>
      <c r="U73" s="2">
        <v>12874</v>
      </c>
    </row>
    <row r="74" spans="2:21" s="2" customFormat="1" x14ac:dyDescent="0.2">
      <c r="B74" s="2" t="s">
        <v>55</v>
      </c>
      <c r="T74" s="2">
        <v>1622</v>
      </c>
      <c r="U74" s="2">
        <v>1830</v>
      </c>
    </row>
    <row r="75" spans="2:21" s="2" customFormat="1" x14ac:dyDescent="0.2">
      <c r="B75" s="2" t="s">
        <v>41</v>
      </c>
      <c r="T75" s="2">
        <v>799</v>
      </c>
      <c r="U75" s="2">
        <v>897</v>
      </c>
    </row>
    <row r="76" spans="2:21" s="2" customFormat="1" x14ac:dyDescent="0.2">
      <c r="B76" s="2" t="s">
        <v>56</v>
      </c>
      <c r="T76" s="2">
        <v>61</v>
      </c>
      <c r="U76" s="2">
        <v>29</v>
      </c>
    </row>
    <row r="77" spans="2:21" s="2" customFormat="1" x14ac:dyDescent="0.2">
      <c r="B77" s="2" t="s">
        <v>57</v>
      </c>
      <c r="T77" s="2">
        <v>460</v>
      </c>
      <c r="U77" s="2">
        <v>526</v>
      </c>
    </row>
    <row r="78" spans="2:21" s="2" customFormat="1" x14ac:dyDescent="0.2">
      <c r="B78" s="2" t="s">
        <v>58</v>
      </c>
      <c r="T78" s="2">
        <v>-236</v>
      </c>
      <c r="U78" s="2">
        <v>-527</v>
      </c>
    </row>
    <row r="79" spans="2:21" s="2" customFormat="1" x14ac:dyDescent="0.2">
      <c r="B79" s="2" t="s">
        <v>11</v>
      </c>
      <c r="T79" s="2">
        <v>22</v>
      </c>
      <c r="U79" s="2">
        <v>191</v>
      </c>
    </row>
    <row r="80" spans="2:21" s="2" customFormat="1" x14ac:dyDescent="0.2">
      <c r="B80" s="2" t="s">
        <v>59</v>
      </c>
      <c r="T80" s="2">
        <v>-546</v>
      </c>
      <c r="U80" s="2">
        <v>186</v>
      </c>
    </row>
    <row r="81" spans="2:21" s="2" customFormat="1" x14ac:dyDescent="0.2">
      <c r="B81" s="2" t="s">
        <v>67</v>
      </c>
      <c r="T81" s="2">
        <v>-171</v>
      </c>
      <c r="U81" s="2">
        <v>-165</v>
      </c>
    </row>
    <row r="82" spans="2:21" s="2" customFormat="1" x14ac:dyDescent="0.2">
      <c r="B82" s="2" t="s">
        <v>64</v>
      </c>
      <c r="T82" s="2">
        <v>40</v>
      </c>
      <c r="U82" s="2">
        <v>-593</v>
      </c>
    </row>
    <row r="83" spans="2:21" s="2" customFormat="1" x14ac:dyDescent="0.2">
      <c r="B83" s="2" t="s">
        <v>21</v>
      </c>
      <c r="T83" s="2">
        <v>-2438</v>
      </c>
      <c r="U83" s="2">
        <v>-3225</v>
      </c>
    </row>
    <row r="84" spans="2:21" s="2" customFormat="1" x14ac:dyDescent="0.2">
      <c r="B84" s="2" t="s">
        <v>60</v>
      </c>
      <c r="T84" s="2">
        <v>-375</v>
      </c>
      <c r="U84" s="2">
        <v>205</v>
      </c>
    </row>
    <row r="85" spans="2:21" s="2" customFormat="1" x14ac:dyDescent="0.2">
      <c r="B85" s="2" t="s">
        <v>61</v>
      </c>
      <c r="T85" s="2">
        <v>277</v>
      </c>
      <c r="U85" s="2">
        <v>29</v>
      </c>
    </row>
    <row r="86" spans="2:21" s="2" customFormat="1" x14ac:dyDescent="0.2">
      <c r="B86" s="2" t="s">
        <v>62</v>
      </c>
      <c r="T86" s="2">
        <v>-99</v>
      </c>
      <c r="U86" s="2">
        <v>75</v>
      </c>
    </row>
    <row r="87" spans="2:21" s="2" customFormat="1" x14ac:dyDescent="0.2">
      <c r="B87" s="2" t="s">
        <v>63</v>
      </c>
      <c r="T87" s="2">
        <v>282</v>
      </c>
      <c r="U87" s="2">
        <v>922</v>
      </c>
    </row>
    <row r="88" spans="2:21" s="2" customFormat="1" x14ac:dyDescent="0.2">
      <c r="B88" s="2" t="s">
        <v>65</v>
      </c>
      <c r="T88" s="2">
        <v>571</v>
      </c>
      <c r="U88" s="2">
        <v>1587</v>
      </c>
    </row>
    <row r="89" spans="2:21" s="2" customFormat="1" x14ac:dyDescent="0.2">
      <c r="B89" s="2" t="s">
        <v>66</v>
      </c>
      <c r="T89" s="2">
        <v>-129</v>
      </c>
      <c r="U89" s="2">
        <v>-163</v>
      </c>
    </row>
    <row r="90" spans="2:21" s="2" customFormat="1" x14ac:dyDescent="0.2">
      <c r="B90" s="2" t="s">
        <v>11</v>
      </c>
      <c r="T90" s="2">
        <v>645</v>
      </c>
      <c r="U90" s="2">
        <v>102</v>
      </c>
    </row>
    <row r="91" spans="2:21" s="2" customFormat="1" x14ac:dyDescent="0.2">
      <c r="B91" s="2" t="s">
        <v>68</v>
      </c>
      <c r="T91" s="2">
        <f>+SUM(T80:T90)</f>
        <v>-1943</v>
      </c>
      <c r="U91" s="2">
        <f>+SUM(U80:U90)</f>
        <v>-1040</v>
      </c>
    </row>
    <row r="92" spans="2:21" s="4" customFormat="1" x14ac:dyDescent="0.2">
      <c r="B92" s="4" t="s">
        <v>27</v>
      </c>
      <c r="T92" s="4">
        <f>+SUM(T73:T79)+T91</f>
        <v>11980</v>
      </c>
      <c r="U92" s="4">
        <f>+SUM(U73:U79)+U91</f>
        <v>14780</v>
      </c>
    </row>
    <row r="93" spans="2:21" s="2" customFormat="1" x14ac:dyDescent="0.2"/>
    <row r="94" spans="2:21" s="2" customFormat="1" x14ac:dyDescent="0.2">
      <c r="B94" s="2" t="s">
        <v>69</v>
      </c>
      <c r="T94" s="2">
        <f>-300-347+87+191+157</f>
        <v>-212</v>
      </c>
      <c r="U94" s="2">
        <f>-508-108+199+262+378</f>
        <v>223</v>
      </c>
    </row>
    <row r="95" spans="2:21" s="2" customFormat="1" x14ac:dyDescent="0.2">
      <c r="B95" s="2" t="s">
        <v>25</v>
      </c>
      <c r="T95" s="2">
        <v>-371</v>
      </c>
      <c r="U95" s="2">
        <v>-474</v>
      </c>
    </row>
    <row r="96" spans="2:21" s="2" customFormat="1" x14ac:dyDescent="0.2">
      <c r="B96" s="2" t="s">
        <v>70</v>
      </c>
      <c r="T96" s="2">
        <v>-717</v>
      </c>
      <c r="U96" s="2">
        <v>-720</v>
      </c>
    </row>
    <row r="97" spans="2:21" s="2" customFormat="1" x14ac:dyDescent="0.2">
      <c r="B97" s="2" t="s">
        <v>56</v>
      </c>
      <c r="T97" s="2">
        <f>-89+44</f>
        <v>-45</v>
      </c>
      <c r="U97" s="2">
        <f>-42+125</f>
        <v>83</v>
      </c>
    </row>
    <row r="98" spans="2:21" s="2" customFormat="1" x14ac:dyDescent="0.2">
      <c r="B98" s="2" t="s">
        <v>71</v>
      </c>
      <c r="T98" s="2">
        <v>0</v>
      </c>
      <c r="U98" s="2">
        <v>-2511</v>
      </c>
    </row>
    <row r="99" spans="2:21" s="2" customFormat="1" x14ac:dyDescent="0.2">
      <c r="B99" s="2" t="s">
        <v>11</v>
      </c>
      <c r="T99" s="2">
        <v>-6</v>
      </c>
      <c r="U99" s="2">
        <v>-3</v>
      </c>
    </row>
    <row r="100" spans="2:21" s="2" customFormat="1" x14ac:dyDescent="0.2">
      <c r="B100" s="2" t="s">
        <v>72</v>
      </c>
      <c r="T100" s="2">
        <f>+SUM(T94:T99)</f>
        <v>-1351</v>
      </c>
      <c r="U100" s="2">
        <f>+SUM(U94:U99)</f>
        <v>-3402</v>
      </c>
    </row>
    <row r="101" spans="2:21" s="2" customFormat="1" x14ac:dyDescent="0.2"/>
    <row r="102" spans="2:21" s="2" customFormat="1" x14ac:dyDescent="0.2">
      <c r="B102" s="2" t="s">
        <v>73</v>
      </c>
      <c r="T102" s="2">
        <v>-9032</v>
      </c>
      <c r="U102" s="2">
        <v>-11035</v>
      </c>
    </row>
    <row r="103" spans="2:21" s="2" customFormat="1" x14ac:dyDescent="0.2">
      <c r="B103" s="2" t="s">
        <v>74</v>
      </c>
      <c r="T103" s="2">
        <v>-2158</v>
      </c>
      <c r="U103" s="2">
        <v>-2448</v>
      </c>
    </row>
    <row r="104" spans="2:21" s="2" customFormat="1" x14ac:dyDescent="0.2">
      <c r="B104" s="2" t="s">
        <v>5</v>
      </c>
      <c r="T104" s="2">
        <v>1554</v>
      </c>
      <c r="U104" s="2">
        <f>3960-1336</f>
        <v>2624</v>
      </c>
    </row>
    <row r="105" spans="2:21" s="2" customFormat="1" x14ac:dyDescent="0.2">
      <c r="B105" s="2" t="s">
        <v>76</v>
      </c>
      <c r="T105" s="2">
        <v>-89</v>
      </c>
      <c r="U105" s="2">
        <v>-178</v>
      </c>
    </row>
    <row r="106" spans="2:21" s="2" customFormat="1" x14ac:dyDescent="0.2">
      <c r="B106" s="2" t="s">
        <v>75</v>
      </c>
      <c r="T106" s="2">
        <v>237</v>
      </c>
      <c r="U106" s="2">
        <v>224</v>
      </c>
    </row>
    <row r="107" spans="2:21" s="2" customFormat="1" x14ac:dyDescent="0.2">
      <c r="B107" s="2" t="s">
        <v>11</v>
      </c>
      <c r="T107" s="2">
        <v>0</v>
      </c>
      <c r="U107" s="2">
        <v>-23</v>
      </c>
    </row>
    <row r="108" spans="2:21" s="2" customFormat="1" x14ac:dyDescent="0.2">
      <c r="B108" s="2" t="s">
        <v>77</v>
      </c>
      <c r="T108" s="2">
        <f>+SUM(T102:T107)</f>
        <v>-9488</v>
      </c>
      <c r="U108" s="2">
        <f>+SUM(U102:U107)</f>
        <v>-10836</v>
      </c>
    </row>
    <row r="109" spans="2:21" s="2" customFormat="1" x14ac:dyDescent="0.2">
      <c r="B109" s="2" t="s">
        <v>78</v>
      </c>
      <c r="T109" s="2">
        <v>128</v>
      </c>
      <c r="U109" s="2">
        <v>-199</v>
      </c>
    </row>
    <row r="110" spans="2:21" s="2" customFormat="1" x14ac:dyDescent="0.2">
      <c r="B110" s="2" t="s">
        <v>79</v>
      </c>
      <c r="T110" s="2">
        <f>+T92+T100+T108+T109</f>
        <v>1269</v>
      </c>
      <c r="U110" s="2">
        <f>+U92+U100+U108+U109</f>
        <v>343</v>
      </c>
    </row>
    <row r="111" spans="2:21" s="2" customFormat="1" x14ac:dyDescent="0.2"/>
    <row r="112" spans="2:21" s="4" customFormat="1" x14ac:dyDescent="0.2">
      <c r="B112" s="4" t="s">
        <v>78</v>
      </c>
      <c r="T112" s="4">
        <f>+T92+T95</f>
        <v>11609</v>
      </c>
      <c r="U112" s="4">
        <f>+U92+U95</f>
        <v>14306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2025-04-09T15:32:10Z</dcterms:created>
  <dcterms:modified xsi:type="dcterms:W3CDTF">2025-04-16T18:30:00Z</dcterms:modified>
</cp:coreProperties>
</file>