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Travel Service\"/>
    </mc:Choice>
  </mc:AlternateContent>
  <xr:revisionPtr revIDLastSave="0" documentId="13_ncr:1_{686246B0-F888-44F3-B216-BEB4DF9A205D}" xr6:coauthVersionLast="47" xr6:coauthVersionMax="47" xr10:uidLastSave="{00000000-0000-0000-0000-000000000000}"/>
  <bookViews>
    <workbookView xWindow="360" yWindow="75" windowWidth="12990" windowHeight="15300" activeTab="1" xr2:uid="{D3EBB0EF-781A-451A-AC6D-F2A7A139EEC3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2" i="1" l="1"/>
  <c r="AC12" i="1"/>
  <c r="AD12" i="1" s="1"/>
  <c r="AE12" i="1" s="1"/>
  <c r="AF12" i="1" s="1"/>
  <c r="AG12" i="1" s="1"/>
  <c r="AI12" i="1" s="1"/>
  <c r="AJ12" i="1" s="1"/>
  <c r="AB12" i="1"/>
  <c r="AM29" i="1"/>
  <c r="AC15" i="1"/>
  <c r="AD15" i="1" s="1"/>
  <c r="AE15" i="1" s="1"/>
  <c r="AF15" i="1" s="1"/>
  <c r="AG15" i="1" s="1"/>
  <c r="AH15" i="1" s="1"/>
  <c r="AI15" i="1" s="1"/>
  <c r="AJ15" i="1" s="1"/>
  <c r="AC14" i="1"/>
  <c r="AD14" i="1" s="1"/>
  <c r="AE14" i="1" s="1"/>
  <c r="AF14" i="1" s="1"/>
  <c r="AG14" i="1" s="1"/>
  <c r="AH14" i="1" s="1"/>
  <c r="AI14" i="1" s="1"/>
  <c r="AJ14" i="1" s="1"/>
  <c r="AC13" i="1"/>
  <c r="AD13" i="1" s="1"/>
  <c r="AE13" i="1" s="1"/>
  <c r="AF13" i="1" s="1"/>
  <c r="AG13" i="1" s="1"/>
  <c r="AH13" i="1" s="1"/>
  <c r="AI13" i="1" s="1"/>
  <c r="AJ13" i="1" s="1"/>
  <c r="AB15" i="1"/>
  <c r="AB14" i="1"/>
  <c r="AB13" i="1"/>
  <c r="S15" i="1"/>
  <c r="R15" i="1"/>
  <c r="S14" i="1"/>
  <c r="R14" i="1"/>
  <c r="S13" i="1"/>
  <c r="R13" i="1"/>
  <c r="Q15" i="1"/>
  <c r="Q14" i="1"/>
  <c r="Q13" i="1"/>
  <c r="S12" i="1"/>
  <c r="R12" i="1"/>
  <c r="Q12" i="1"/>
  <c r="AC19" i="1" l="1"/>
  <c r="AB19" i="1"/>
  <c r="AC25" i="1"/>
  <c r="AD25" i="1" s="1"/>
  <c r="AE25" i="1" s="1"/>
  <c r="AF25" i="1" s="1"/>
  <c r="AG25" i="1" s="1"/>
  <c r="AH25" i="1" s="1"/>
  <c r="AI25" i="1" s="1"/>
  <c r="AJ25" i="1" s="1"/>
  <c r="AB25" i="1"/>
  <c r="Z35" i="1"/>
  <c r="Y35" i="1"/>
  <c r="X35" i="1"/>
  <c r="W35" i="1"/>
  <c r="V35" i="1"/>
  <c r="Z34" i="1"/>
  <c r="Y34" i="1"/>
  <c r="X34" i="1"/>
  <c r="W34" i="1"/>
  <c r="V34" i="1"/>
  <c r="Z33" i="1"/>
  <c r="Y33" i="1"/>
  <c r="X33" i="1"/>
  <c r="W33" i="1"/>
  <c r="V33" i="1"/>
  <c r="AA34" i="1"/>
  <c r="AA25" i="1"/>
  <c r="AA20" i="1"/>
  <c r="AA19" i="1"/>
  <c r="AA18" i="1"/>
  <c r="AA15" i="1"/>
  <c r="AA14" i="1"/>
  <c r="AA13" i="1"/>
  <c r="Z37" i="1"/>
  <c r="R25" i="1"/>
  <c r="S25" i="1" s="1"/>
  <c r="Q25" i="1"/>
  <c r="S35" i="1"/>
  <c r="R35" i="1"/>
  <c r="Q35" i="1"/>
  <c r="S34" i="1"/>
  <c r="R34" i="1"/>
  <c r="Q34" i="1"/>
  <c r="S33" i="1"/>
  <c r="R33" i="1"/>
  <c r="Q33" i="1"/>
  <c r="R19" i="1"/>
  <c r="S19" i="1" s="1"/>
  <c r="Q19" i="1"/>
  <c r="S16" i="1"/>
  <c r="S17" i="1" s="1"/>
  <c r="S21" i="1" s="1"/>
  <c r="S22" i="1" s="1"/>
  <c r="S29" i="1" s="1"/>
  <c r="R16" i="1"/>
  <c r="R17" i="1" s="1"/>
  <c r="R21" i="1" s="1"/>
  <c r="R22" i="1" s="1"/>
  <c r="R29" i="1" s="1"/>
  <c r="Q16" i="1"/>
  <c r="Q17" i="1" s="1"/>
  <c r="Q21" i="1" s="1"/>
  <c r="Q22" i="1" s="1"/>
  <c r="Q29" i="1" s="1"/>
  <c r="O35" i="1"/>
  <c r="N35" i="1"/>
  <c r="M35" i="1"/>
  <c r="L35" i="1"/>
  <c r="K35" i="1"/>
  <c r="J35" i="1"/>
  <c r="I35" i="1"/>
  <c r="H35" i="1"/>
  <c r="O34" i="1"/>
  <c r="N34" i="1"/>
  <c r="M34" i="1"/>
  <c r="L34" i="1"/>
  <c r="K34" i="1"/>
  <c r="J34" i="1"/>
  <c r="I34" i="1"/>
  <c r="H34" i="1"/>
  <c r="O33" i="1"/>
  <c r="N33" i="1"/>
  <c r="M33" i="1"/>
  <c r="L33" i="1"/>
  <c r="K33" i="1"/>
  <c r="J33" i="1"/>
  <c r="I33" i="1"/>
  <c r="H33" i="1"/>
  <c r="P35" i="1"/>
  <c r="P34" i="1"/>
  <c r="P33" i="1"/>
  <c r="P91" i="1"/>
  <c r="P81" i="1"/>
  <c r="P73" i="1"/>
  <c r="P95" i="1" s="1"/>
  <c r="O86" i="1"/>
  <c r="O77" i="1"/>
  <c r="M90" i="1"/>
  <c r="M89" i="1"/>
  <c r="M88" i="1"/>
  <c r="M87" i="1"/>
  <c r="N87" i="1" s="1"/>
  <c r="O87" i="1" s="1"/>
  <c r="M85" i="1"/>
  <c r="M84" i="1"/>
  <c r="N84" i="1" s="1"/>
  <c r="M83" i="1"/>
  <c r="N83" i="1" s="1"/>
  <c r="M80" i="1"/>
  <c r="N80" i="1" s="1"/>
  <c r="M79" i="1"/>
  <c r="M78" i="1"/>
  <c r="M76" i="1"/>
  <c r="N76" i="1" s="1"/>
  <c r="M75" i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O67" i="1" s="1"/>
  <c r="M66" i="1"/>
  <c r="N66" i="1" s="1"/>
  <c r="M65" i="1"/>
  <c r="N65" i="1" s="1"/>
  <c r="M64" i="1"/>
  <c r="N64" i="1" s="1"/>
  <c r="L91" i="1"/>
  <c r="L81" i="1"/>
  <c r="L73" i="1"/>
  <c r="L95" i="1" s="1"/>
  <c r="P50" i="1"/>
  <c r="P47" i="1"/>
  <c r="P39" i="1"/>
  <c r="P38" i="1"/>
  <c r="O50" i="1"/>
  <c r="O47" i="1"/>
  <c r="O39" i="1"/>
  <c r="O38" i="1"/>
  <c r="N50" i="1"/>
  <c r="N47" i="1"/>
  <c r="N39" i="1"/>
  <c r="N38" i="1"/>
  <c r="M50" i="1"/>
  <c r="M47" i="1"/>
  <c r="M39" i="1"/>
  <c r="M38" i="1"/>
  <c r="L50" i="1"/>
  <c r="L47" i="1"/>
  <c r="L39" i="1"/>
  <c r="L38" i="1"/>
  <c r="U16" i="1"/>
  <c r="U9" i="1"/>
  <c r="U12" i="1" s="1"/>
  <c r="V16" i="1"/>
  <c r="V9" i="1"/>
  <c r="V12" i="1" s="1"/>
  <c r="W16" i="1"/>
  <c r="W9" i="1"/>
  <c r="W12" i="1" s="1"/>
  <c r="X16" i="1"/>
  <c r="X9" i="1"/>
  <c r="X12" i="1" s="1"/>
  <c r="Y16" i="1"/>
  <c r="Y9" i="1"/>
  <c r="Y12" i="1" s="1"/>
  <c r="Z16" i="1"/>
  <c r="Z9" i="1"/>
  <c r="Z12" i="1" s="1"/>
  <c r="G16" i="1"/>
  <c r="G9" i="1"/>
  <c r="G12" i="1" s="1"/>
  <c r="F16" i="1"/>
  <c r="F9" i="1"/>
  <c r="F12" i="1" s="1"/>
  <c r="E16" i="1"/>
  <c r="E9" i="1"/>
  <c r="E12" i="1" s="1"/>
  <c r="D16" i="1"/>
  <c r="D9" i="1"/>
  <c r="D12" i="1" s="1"/>
  <c r="K16" i="1"/>
  <c r="K9" i="1"/>
  <c r="K12" i="1" s="1"/>
  <c r="O16" i="1"/>
  <c r="O9" i="1"/>
  <c r="O12" i="1" s="1"/>
  <c r="S32" i="1" s="1"/>
  <c r="J16" i="1"/>
  <c r="J9" i="1"/>
  <c r="J12" i="1" s="1"/>
  <c r="N9" i="1"/>
  <c r="N12" i="1" s="1"/>
  <c r="R32" i="1" s="1"/>
  <c r="N16" i="1"/>
  <c r="I16" i="1"/>
  <c r="I9" i="1"/>
  <c r="I12" i="1" s="1"/>
  <c r="M16" i="1"/>
  <c r="M9" i="1"/>
  <c r="M12" i="1" s="1"/>
  <c r="Q32" i="1" s="1"/>
  <c r="P9" i="1"/>
  <c r="P12" i="1" s="1"/>
  <c r="L9" i="1"/>
  <c r="L12" i="1" s="1"/>
  <c r="H9" i="1"/>
  <c r="H12" i="1" s="1"/>
  <c r="H16" i="1"/>
  <c r="L16" i="1"/>
  <c r="P16" i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K9" i="2"/>
  <c r="K8" i="2"/>
  <c r="K7" i="2"/>
  <c r="K10" i="2" s="1"/>
  <c r="AB34" i="1" l="1"/>
  <c r="AB35" i="1"/>
  <c r="AB16" i="1"/>
  <c r="AA35" i="1"/>
  <c r="AA16" i="1"/>
  <c r="AC16" i="1"/>
  <c r="AA33" i="1"/>
  <c r="AB33" i="1"/>
  <c r="Q27" i="1"/>
  <c r="S23" i="1"/>
  <c r="R27" i="1"/>
  <c r="S27" i="1"/>
  <c r="R23" i="1"/>
  <c r="Q23" i="1"/>
  <c r="V31" i="1"/>
  <c r="W31" i="1"/>
  <c r="N31" i="1"/>
  <c r="M31" i="1"/>
  <c r="O31" i="1"/>
  <c r="Q9" i="1"/>
  <c r="X31" i="1"/>
  <c r="R9" i="1"/>
  <c r="R31" i="1" s="1"/>
  <c r="Y31" i="1"/>
  <c r="S9" i="1"/>
  <c r="S31" i="1" s="1"/>
  <c r="P31" i="1"/>
  <c r="H31" i="1"/>
  <c r="I31" i="1"/>
  <c r="Z31" i="1"/>
  <c r="J31" i="1"/>
  <c r="K31" i="1"/>
  <c r="L31" i="1"/>
  <c r="Q31" i="1"/>
  <c r="O76" i="1"/>
  <c r="O72" i="1"/>
  <c r="O84" i="1"/>
  <c r="N85" i="1"/>
  <c r="O85" i="1" s="1"/>
  <c r="O65" i="1"/>
  <c r="P93" i="1"/>
  <c r="O66" i="1"/>
  <c r="O68" i="1"/>
  <c r="O56" i="1"/>
  <c r="N88" i="1"/>
  <c r="O88" i="1" s="1"/>
  <c r="O69" i="1"/>
  <c r="O83" i="1"/>
  <c r="N78" i="1"/>
  <c r="O78" i="1" s="1"/>
  <c r="N79" i="1"/>
  <c r="O79" i="1" s="1"/>
  <c r="O80" i="1"/>
  <c r="N89" i="1"/>
  <c r="O89" i="1" s="1"/>
  <c r="O70" i="1"/>
  <c r="P46" i="1"/>
  <c r="N90" i="1"/>
  <c r="O90" i="1" s="1"/>
  <c r="O71" i="1"/>
  <c r="O64" i="1"/>
  <c r="M81" i="1"/>
  <c r="N73" i="1"/>
  <c r="N75" i="1"/>
  <c r="Z32" i="1"/>
  <c r="M91" i="1"/>
  <c r="M37" i="1"/>
  <c r="P56" i="1"/>
  <c r="L56" i="1"/>
  <c r="M46" i="1"/>
  <c r="L37" i="1"/>
  <c r="O37" i="1"/>
  <c r="Y32" i="1"/>
  <c r="L93" i="1"/>
  <c r="M73" i="1"/>
  <c r="L46" i="1"/>
  <c r="P17" i="1"/>
  <c r="P21" i="1" s="1"/>
  <c r="M56" i="1"/>
  <c r="P37" i="1"/>
  <c r="O46" i="1"/>
  <c r="N56" i="1"/>
  <c r="N37" i="1"/>
  <c r="N46" i="1"/>
  <c r="U17" i="1"/>
  <c r="V32" i="1"/>
  <c r="V17" i="1"/>
  <c r="W32" i="1"/>
  <c r="X32" i="1"/>
  <c r="W17" i="1"/>
  <c r="X17" i="1"/>
  <c r="Y17" i="1"/>
  <c r="Z17" i="1"/>
  <c r="G17" i="1"/>
  <c r="G27" i="1" s="1"/>
  <c r="F17" i="1"/>
  <c r="F27" i="1" s="1"/>
  <c r="E17" i="1"/>
  <c r="D17" i="1"/>
  <c r="H32" i="1"/>
  <c r="K17" i="1"/>
  <c r="K27" i="1" s="1"/>
  <c r="K32" i="1"/>
  <c r="O32" i="1"/>
  <c r="O17" i="1"/>
  <c r="J32" i="1"/>
  <c r="J17" i="1"/>
  <c r="N17" i="1"/>
  <c r="N32" i="1"/>
  <c r="I32" i="1"/>
  <c r="I17" i="1"/>
  <c r="M17" i="1"/>
  <c r="M32" i="1"/>
  <c r="H17" i="1"/>
  <c r="L32" i="1"/>
  <c r="P32" i="1"/>
  <c r="L17" i="1"/>
  <c r="AC34" i="1" l="1"/>
  <c r="AC35" i="1"/>
  <c r="AC33" i="1"/>
  <c r="R28" i="1"/>
  <c r="R24" i="1"/>
  <c r="S28" i="1"/>
  <c r="S24" i="1"/>
  <c r="Q28" i="1"/>
  <c r="Q24" i="1"/>
  <c r="AA12" i="1"/>
  <c r="P27" i="1"/>
  <c r="P57" i="1"/>
  <c r="P58" i="1" s="1"/>
  <c r="O57" i="1"/>
  <c r="O58" i="1" s="1"/>
  <c r="O91" i="1"/>
  <c r="N91" i="1"/>
  <c r="O73" i="1"/>
  <c r="N81" i="1"/>
  <c r="O75" i="1"/>
  <c r="O81" i="1" s="1"/>
  <c r="N95" i="1"/>
  <c r="M57" i="1"/>
  <c r="M58" i="1" s="1"/>
  <c r="L57" i="1"/>
  <c r="L58" i="1" s="1"/>
  <c r="M93" i="1"/>
  <c r="M95" i="1"/>
  <c r="G21" i="1"/>
  <c r="G23" i="1" s="1"/>
  <c r="Y21" i="1"/>
  <c r="Y27" i="1"/>
  <c r="X21" i="1"/>
  <c r="X27" i="1"/>
  <c r="F21" i="1"/>
  <c r="F29" i="1" s="1"/>
  <c r="N57" i="1"/>
  <c r="N58" i="1" s="1"/>
  <c r="U21" i="1"/>
  <c r="U27" i="1"/>
  <c r="V27" i="1"/>
  <c r="V21" i="1"/>
  <c r="W27" i="1"/>
  <c r="W21" i="1"/>
  <c r="Z27" i="1"/>
  <c r="Z21" i="1"/>
  <c r="E27" i="1"/>
  <c r="E21" i="1"/>
  <c r="D21" i="1"/>
  <c r="D27" i="1"/>
  <c r="K21" i="1"/>
  <c r="K23" i="1" s="1"/>
  <c r="O21" i="1"/>
  <c r="O27" i="1"/>
  <c r="J27" i="1"/>
  <c r="J21" i="1"/>
  <c r="N27" i="1"/>
  <c r="N21" i="1"/>
  <c r="I21" i="1"/>
  <c r="I27" i="1"/>
  <c r="M27" i="1"/>
  <c r="M21" i="1"/>
  <c r="P29" i="1"/>
  <c r="P23" i="1"/>
  <c r="P63" i="1" s="1"/>
  <c r="L21" i="1"/>
  <c r="L27" i="1"/>
  <c r="H21" i="1"/>
  <c r="H27" i="1"/>
  <c r="AD34" i="1" l="1"/>
  <c r="AD35" i="1"/>
  <c r="AD33" i="1"/>
  <c r="AD16" i="1"/>
  <c r="AA17" i="1"/>
  <c r="AA32" i="1"/>
  <c r="F23" i="1"/>
  <c r="F24" i="1" s="1"/>
  <c r="G29" i="1"/>
  <c r="N93" i="1"/>
  <c r="O93" i="1"/>
  <c r="O95" i="1"/>
  <c r="O96" i="1" s="1"/>
  <c r="X23" i="1"/>
  <c r="X29" i="1"/>
  <c r="Y23" i="1"/>
  <c r="Y29" i="1"/>
  <c r="U29" i="1"/>
  <c r="U23" i="1"/>
  <c r="V29" i="1"/>
  <c r="V23" i="1"/>
  <c r="W29" i="1"/>
  <c r="W23" i="1"/>
  <c r="Z23" i="1"/>
  <c r="Z29" i="1"/>
  <c r="G28" i="1"/>
  <c r="G24" i="1"/>
  <c r="E23" i="1"/>
  <c r="E29" i="1"/>
  <c r="D29" i="1"/>
  <c r="D23" i="1"/>
  <c r="K29" i="1"/>
  <c r="K28" i="1"/>
  <c r="K24" i="1"/>
  <c r="O29" i="1"/>
  <c r="O23" i="1"/>
  <c r="O63" i="1" s="1"/>
  <c r="J29" i="1"/>
  <c r="J23" i="1"/>
  <c r="N29" i="1"/>
  <c r="N23" i="1"/>
  <c r="N63" i="1" s="1"/>
  <c r="I29" i="1"/>
  <c r="I23" i="1"/>
  <c r="M29" i="1"/>
  <c r="M23" i="1"/>
  <c r="M63" i="1" s="1"/>
  <c r="P28" i="1"/>
  <c r="P24" i="1"/>
  <c r="L23" i="1"/>
  <c r="L29" i="1"/>
  <c r="H29" i="1"/>
  <c r="H23" i="1"/>
  <c r="AE34" i="1" l="1"/>
  <c r="AE35" i="1"/>
  <c r="AE33" i="1"/>
  <c r="AE16" i="1"/>
  <c r="AA27" i="1"/>
  <c r="AA21" i="1"/>
  <c r="AB32" i="1"/>
  <c r="AB17" i="1"/>
  <c r="AC32" i="1"/>
  <c r="AC17" i="1"/>
  <c r="F28" i="1"/>
  <c r="L63" i="1"/>
  <c r="O61" i="1"/>
  <c r="Y24" i="1"/>
  <c r="Y28" i="1"/>
  <c r="X24" i="1"/>
  <c r="X28" i="1"/>
  <c r="U28" i="1"/>
  <c r="U24" i="1"/>
  <c r="V28" i="1"/>
  <c r="V24" i="1"/>
  <c r="W28" i="1"/>
  <c r="W24" i="1"/>
  <c r="Z24" i="1"/>
  <c r="Z28" i="1"/>
  <c r="E28" i="1"/>
  <c r="E24" i="1"/>
  <c r="D28" i="1"/>
  <c r="D24" i="1"/>
  <c r="O28" i="1"/>
  <c r="O24" i="1"/>
  <c r="J28" i="1"/>
  <c r="J24" i="1"/>
  <c r="N28" i="1"/>
  <c r="N24" i="1"/>
  <c r="I28" i="1"/>
  <c r="I24" i="1"/>
  <c r="M28" i="1"/>
  <c r="M24" i="1"/>
  <c r="L24" i="1"/>
  <c r="L28" i="1"/>
  <c r="H28" i="1"/>
  <c r="H24" i="1"/>
  <c r="AF34" i="1" l="1"/>
  <c r="AF35" i="1"/>
  <c r="AF33" i="1"/>
  <c r="AF16" i="1"/>
  <c r="AB27" i="1"/>
  <c r="AB21" i="1"/>
  <c r="AA22" i="1"/>
  <c r="AA29" i="1" s="1"/>
  <c r="AC21" i="1"/>
  <c r="AC27" i="1"/>
  <c r="AD32" i="1"/>
  <c r="AD17" i="1"/>
  <c r="N60" i="1"/>
  <c r="M60" i="1"/>
  <c r="L60" i="1"/>
  <c r="O60" i="1"/>
  <c r="P60" i="1"/>
  <c r="AG34" i="1" l="1"/>
  <c r="AG35" i="1"/>
  <c r="AG33" i="1"/>
  <c r="AG16" i="1"/>
  <c r="AA23" i="1"/>
  <c r="AB22" i="1"/>
  <c r="AB29" i="1" s="1"/>
  <c r="AD27" i="1"/>
  <c r="AD21" i="1"/>
  <c r="AE32" i="1"/>
  <c r="AE17" i="1"/>
  <c r="AC22" i="1"/>
  <c r="AC29" i="1" s="1"/>
  <c r="AH34" i="1" l="1"/>
  <c r="AH35" i="1"/>
  <c r="AB23" i="1"/>
  <c r="AH33" i="1"/>
  <c r="AH16" i="1"/>
  <c r="AA37" i="1"/>
  <c r="AB37" i="1" s="1"/>
  <c r="AA28" i="1"/>
  <c r="AA24" i="1"/>
  <c r="AD22" i="1"/>
  <c r="AD29" i="1" s="1"/>
  <c r="AC23" i="1"/>
  <c r="AE27" i="1"/>
  <c r="AF32" i="1"/>
  <c r="AF17" i="1"/>
  <c r="AB24" i="1" l="1"/>
  <c r="AB28" i="1"/>
  <c r="AJ34" i="1"/>
  <c r="AI34" i="1"/>
  <c r="AJ35" i="1"/>
  <c r="AI35" i="1"/>
  <c r="AI33" i="1"/>
  <c r="AI16" i="1"/>
  <c r="AD23" i="1"/>
  <c r="AD24" i="1" s="1"/>
  <c r="AF27" i="1"/>
  <c r="AG32" i="1"/>
  <c r="AG17" i="1"/>
  <c r="AG27" i="1" s="1"/>
  <c r="AC24" i="1"/>
  <c r="AC28" i="1"/>
  <c r="AC37" i="1"/>
  <c r="AD28" i="1" l="1"/>
  <c r="AD37" i="1"/>
  <c r="AE20" i="1" s="1"/>
  <c r="AE21" i="1" s="1"/>
  <c r="AJ16" i="1"/>
  <c r="AJ33" i="1"/>
  <c r="AH32" i="1"/>
  <c r="AH17" i="1"/>
  <c r="AH27" i="1" s="1"/>
  <c r="AI32" i="1" l="1"/>
  <c r="AI17" i="1"/>
  <c r="AI27" i="1" s="1"/>
  <c r="AE22" i="1"/>
  <c r="AE29" i="1" s="1"/>
  <c r="AE23" i="1" l="1"/>
  <c r="AJ32" i="1"/>
  <c r="AJ17" i="1"/>
  <c r="AJ27" i="1" s="1"/>
  <c r="AE24" i="1" l="1"/>
  <c r="AE37" i="1"/>
  <c r="AF20" i="1" s="1"/>
  <c r="AF21" i="1" s="1"/>
  <c r="AE28" i="1"/>
  <c r="AF22" i="1" l="1"/>
  <c r="AF29" i="1" s="1"/>
  <c r="AF23" i="1" l="1"/>
  <c r="AF24" i="1" l="1"/>
  <c r="AF28" i="1"/>
  <c r="AF37" i="1"/>
  <c r="AG20" i="1" s="1"/>
  <c r="AG21" i="1" s="1"/>
  <c r="AG22" i="1" l="1"/>
  <c r="AG29" i="1" s="1"/>
  <c r="AG23" i="1" l="1"/>
  <c r="AG24" i="1" l="1"/>
  <c r="AG37" i="1"/>
  <c r="AH20" i="1" s="1"/>
  <c r="AH21" i="1" s="1"/>
  <c r="AG28" i="1"/>
  <c r="AH22" i="1" l="1"/>
  <c r="AH29" i="1" s="1"/>
  <c r="AH23" i="1" l="1"/>
  <c r="AH28" i="1" s="1"/>
  <c r="AH37" i="1" l="1"/>
  <c r="AI20" i="1" s="1"/>
  <c r="AI21" i="1" s="1"/>
  <c r="AH24" i="1"/>
  <c r="AI22" i="1" l="1"/>
  <c r="AI29" i="1" s="1"/>
  <c r="AI23" i="1" l="1"/>
  <c r="AI28" i="1" s="1"/>
  <c r="AI24" i="1" l="1"/>
  <c r="AI37" i="1"/>
  <c r="AJ20" i="1" s="1"/>
  <c r="AJ21" i="1" s="1"/>
  <c r="AJ22" i="1" l="1"/>
  <c r="AJ29" i="1" s="1"/>
  <c r="AJ23" i="1" l="1"/>
  <c r="AJ24" i="1" l="1"/>
  <c r="AK23" i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CP23" i="1" s="1"/>
  <c r="CQ23" i="1" s="1"/>
  <c r="CR23" i="1" s="1"/>
  <c r="CS23" i="1" s="1"/>
  <c r="CT23" i="1" s="1"/>
  <c r="CU23" i="1" s="1"/>
  <c r="CV23" i="1" s="1"/>
  <c r="CW23" i="1" s="1"/>
  <c r="CX23" i="1" s="1"/>
  <c r="CY23" i="1" s="1"/>
  <c r="CZ23" i="1" s="1"/>
  <c r="DA23" i="1" s="1"/>
  <c r="DB23" i="1" s="1"/>
  <c r="DC23" i="1" s="1"/>
  <c r="DD23" i="1" s="1"/>
  <c r="DE23" i="1" s="1"/>
  <c r="DF23" i="1" s="1"/>
  <c r="DG23" i="1" s="1"/>
  <c r="DH23" i="1" s="1"/>
  <c r="DI23" i="1" s="1"/>
  <c r="DJ23" i="1" s="1"/>
  <c r="DK23" i="1" s="1"/>
  <c r="DL23" i="1" s="1"/>
  <c r="DM23" i="1" s="1"/>
  <c r="DN23" i="1" s="1"/>
  <c r="DO23" i="1" s="1"/>
  <c r="DP23" i="1" s="1"/>
  <c r="DQ23" i="1" s="1"/>
  <c r="DR23" i="1" s="1"/>
  <c r="DS23" i="1" s="1"/>
  <c r="DT23" i="1" s="1"/>
  <c r="DU23" i="1" s="1"/>
  <c r="DV23" i="1" s="1"/>
  <c r="DW23" i="1" s="1"/>
  <c r="DX23" i="1" s="1"/>
  <c r="DY23" i="1" s="1"/>
  <c r="DZ23" i="1" s="1"/>
  <c r="EA23" i="1" s="1"/>
  <c r="EB23" i="1" s="1"/>
  <c r="EC23" i="1" s="1"/>
  <c r="ED23" i="1" s="1"/>
  <c r="EE23" i="1" s="1"/>
  <c r="EF23" i="1" s="1"/>
  <c r="EG23" i="1" s="1"/>
  <c r="AM28" i="1" s="1"/>
  <c r="AM30" i="1" s="1"/>
  <c r="AM31" i="1" s="1"/>
  <c r="AM33" i="1" s="1"/>
  <c r="AJ28" i="1"/>
  <c r="AJ37" i="1"/>
</calcChain>
</file>

<file path=xl/sharedStrings.xml><?xml version="1.0" encoding="utf-8"?>
<sst xmlns="http://schemas.openxmlformats.org/spreadsheetml/2006/main" count="123" uniqueCount="102">
  <si>
    <t>Marriott International</t>
  </si>
  <si>
    <t>(MAR)</t>
  </si>
  <si>
    <t>(in millions)</t>
  </si>
  <si>
    <t>Price</t>
  </si>
  <si>
    <t>Shares</t>
  </si>
  <si>
    <t>MC</t>
  </si>
  <si>
    <t>Cash</t>
  </si>
  <si>
    <t>Debt</t>
  </si>
  <si>
    <t>EV</t>
  </si>
  <si>
    <t>Q124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</si>
  <si>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</si>
  <si>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</si>
  <si>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</si>
  <si>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</si>
  <si>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</si>
  <si>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</si>
  <si>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</si>
  <si>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</si>
  <si>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</si>
  <si>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</si>
  <si>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</si>
  <si>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</si>
  <si>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Q224</t>
  </si>
  <si>
    <t>Q324</t>
  </si>
  <si>
    <t>Q424</t>
  </si>
  <si>
    <t>Base fees</t>
  </si>
  <si>
    <t>Franchise fees</t>
  </si>
  <si>
    <t>Incentive fees</t>
  </si>
  <si>
    <t>Contract amortization</t>
  </si>
  <si>
    <t>Owned, leased &amp; other</t>
  </si>
  <si>
    <t>Reimbursement</t>
  </si>
  <si>
    <t>Revenue</t>
  </si>
  <si>
    <t>G&amp;A</t>
  </si>
  <si>
    <t>Reimbursement expense</t>
  </si>
  <si>
    <t>Operating expense</t>
  </si>
  <si>
    <t>Operating income</t>
  </si>
  <si>
    <t>Other</t>
  </si>
  <si>
    <t>Interest expense</t>
  </si>
  <si>
    <t>Interest income</t>
  </si>
  <si>
    <t>Pretax</t>
  </si>
  <si>
    <t>Taxes</t>
  </si>
  <si>
    <t>Net income</t>
  </si>
  <si>
    <t>EPS</t>
  </si>
  <si>
    <t>Operating margin</t>
  </si>
  <si>
    <t>Net margin</t>
  </si>
  <si>
    <t>Tax rate</t>
  </si>
  <si>
    <t>Revenue y/y</t>
  </si>
  <si>
    <t>Total fees</t>
  </si>
  <si>
    <t>Net cash</t>
  </si>
  <si>
    <t>A/R</t>
  </si>
  <si>
    <t>Prepaid</t>
  </si>
  <si>
    <t>PP&amp;E</t>
  </si>
  <si>
    <t>Goodwill</t>
  </si>
  <si>
    <t>D/T</t>
  </si>
  <si>
    <t>Lease</t>
  </si>
  <si>
    <t>Assets</t>
  </si>
  <si>
    <t>A/P</t>
  </si>
  <si>
    <t>Loyalty program</t>
  </si>
  <si>
    <t>D/R</t>
  </si>
  <si>
    <t>Liabilities</t>
  </si>
  <si>
    <t>S/E</t>
  </si>
  <si>
    <t>L+S/E</t>
  </si>
  <si>
    <t>Accrued payroll</t>
  </si>
  <si>
    <t>Accrued expense</t>
  </si>
  <si>
    <t>TTM</t>
  </si>
  <si>
    <t>ROIC</t>
  </si>
  <si>
    <t>Model NI</t>
  </si>
  <si>
    <t>Reported NI</t>
  </si>
  <si>
    <t>D&amp;A</t>
  </si>
  <si>
    <t>SBC</t>
  </si>
  <si>
    <t>Contract acquisition</t>
  </si>
  <si>
    <t>Merger charges</t>
  </si>
  <si>
    <t>Working capital changes</t>
  </si>
  <si>
    <t>CFFO</t>
  </si>
  <si>
    <t>CapEx</t>
  </si>
  <si>
    <t>Loan advances</t>
  </si>
  <si>
    <t>Loan collections</t>
  </si>
  <si>
    <t>CFFI</t>
  </si>
  <si>
    <t>Credit</t>
  </si>
  <si>
    <t>Issuance debt</t>
  </si>
  <si>
    <t>Repayment debt</t>
  </si>
  <si>
    <t>Dividends</t>
  </si>
  <si>
    <t>Treasury</t>
  </si>
  <si>
    <t>SBC taxes</t>
  </si>
  <si>
    <t>CFFF</t>
  </si>
  <si>
    <t>CIC</t>
  </si>
  <si>
    <t>FCF</t>
  </si>
  <si>
    <t>Acquisition</t>
  </si>
  <si>
    <t>Dispositions</t>
  </si>
  <si>
    <t>Issuance stock</t>
  </si>
  <si>
    <t>RevPAR = Revenue per available room</t>
  </si>
  <si>
    <t>Fees y/y</t>
  </si>
  <si>
    <t>Owned, leased &amp; other y/y</t>
  </si>
  <si>
    <t>G&amp;A y/y</t>
  </si>
  <si>
    <t>Reimbursement expense y/y</t>
  </si>
  <si>
    <t>Terminal value</t>
  </si>
  <si>
    <t>Discount rate</t>
  </si>
  <si>
    <t>NPV</t>
  </si>
  <si>
    <t>Total value</t>
  </si>
  <si>
    <t>Per share</t>
  </si>
  <si>
    <t>Currrent share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</si>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</sst>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9" fontId="1" fillId="0" borderId="0" xfId="0" applyNumberFormat="1" applyFont="1"/>
    <xf numFmtId="14" fontId="0" fillId="0" borderId="0" xfId="0" applyNumberFormat="1"/>
    <xf numFmtId="9" fontId="0" fillId="0" borderId="0" xfId="0" applyNumberFormat="1" applyAlignment="1">
      <alignment horizontal="left" indent="1"/>
    </xf>
    <xf numFmtId="9" fontId="0" fillId="0" borderId="0" xfId="0" applyNumberFormat="1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38100</xdr:rowOff>
    </xdr:from>
    <xdr:to>
      <xdr:col>16</xdr:col>
      <xdr:colOff>19050</xdr:colOff>
      <xdr:row>44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3EDE9F-13CD-C5EE-C113-70B9CA624489}"/>
            </a:ext>
          </a:extLst>
        </xdr:cNvPr>
        <xdr:cNvCxnSpPr/>
      </xdr:nvCxnSpPr>
      <xdr:spPr>
        <a:xfrm>
          <a:off x="9991725" y="38100"/>
          <a:ext cx="0" cy="681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0</xdr:row>
      <xdr:rowOff>47625</xdr:rowOff>
    </xdr:from>
    <xdr:to>
      <xdr:col>26</xdr:col>
      <xdr:colOff>19050</xdr:colOff>
      <xdr:row>44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6BD5D12-0E06-4926-8C76-C4F74BD8197E}"/>
            </a:ext>
          </a:extLst>
        </xdr:cNvPr>
        <xdr:cNvCxnSpPr/>
      </xdr:nvCxnSpPr>
      <xdr:spPr>
        <a:xfrm>
          <a:off x="16087725" y="47625"/>
          <a:ext cx="0" cy="681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60CE-2409-4D74-868E-2CC32BFB2C9E}">
  <dimension ref="B2:L10"/>
  <sheetViews>
    <sheetView workbookViewId="0">
      <selection activeCell="J19" sqref="J19"/>
    </sheetView>
  </sheetViews>
  <sheetFormatPr defaultRowHeight="12.75" x14ac:dyDescent="0.2"/>
  <cols>
    <col min="1" max="1" width="2.85546875" customWidth="1"/>
    <col min="2" max="2" width="26.7109375" customWidth="1"/>
  </cols>
  <sheetData>
    <row r="2" spans="2:12" ht="34.5" x14ac:dyDescent="0.45">
      <c r="B2" s="2" t="s">
        <v>0</v>
      </c>
    </row>
    <row r="3" spans="2:12" x14ac:dyDescent="0.2">
      <c r="B3" s="1" t="s">
        <v>1</v>
      </c>
    </row>
    <row r="4" spans="2:12" x14ac:dyDescent="0.2">
      <c r="B4" s="1" t="s">
        <v>2</v>
      </c>
    </row>
    <row r="5" spans="2:12" x14ac:dyDescent="0.2">
      <c r="C5" t="s">
        <v>90</v>
      </c>
      <c r="J5" t="s">
        <v>3</v>
      </c>
      <c r="K5" s="3">
        <v>240</v>
      </c>
    </row>
    <row r="6" spans="2:12" x14ac:dyDescent="0.2">
      <c r="J6" t="s">
        <v>4</v>
      </c>
      <c r="K6" s="3">
        <v>285.62235700000002</v>
      </c>
      <c r="L6" s="4" t="s">
        <v>9</v>
      </c>
    </row>
    <row r="7" spans="2:12" x14ac:dyDescent="0.2">
      <c r="J7" t="s">
        <v>5</v>
      </c>
      <c r="K7" s="3">
        <f>+K5*K6</f>
        <v>68549.365680000003</v>
      </c>
      <c r="L7" s="4"/>
    </row>
    <row r="8" spans="2:12" x14ac:dyDescent="0.2">
      <c r="J8" t="s">
        <v>6</v>
      </c>
      <c r="K8" s="3">
        <f>429+302</f>
        <v>731</v>
      </c>
      <c r="L8" s="4" t="s">
        <v>9</v>
      </c>
    </row>
    <row r="9" spans="2:12" x14ac:dyDescent="0.2">
      <c r="J9" t="s">
        <v>7</v>
      </c>
      <c r="K9" s="3">
        <f>910+11748</f>
        <v>12658</v>
      </c>
      <c r="L9" s="4" t="s">
        <v>9</v>
      </c>
    </row>
    <row r="10" spans="2:12" x14ac:dyDescent="0.2">
      <c r="J10" t="s">
        <v>8</v>
      </c>
      <c r="K10" s="3">
        <f>+K7-K8+K9</f>
        <v>80476.365680000003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F1A8-097E-45A9-BC86-A9D3B7E51CC4}">
  <dimension ref="C1:EG96"/>
  <sheetViews>
    <sheetView tabSelected="1" topLeftCell="B1" zoomScaleNormal="100" workbookViewId="0">
      <pane xSplit="2" ySplit="4" topLeftCell="D5" activePane="bottomRight" state="frozen"/>
      <selection activeCell="B1" sqref="B1"/>
      <selection pane="topRight" activeCell="C1" sqref="C1"/>
      <selection pane="bottomLeft" activeCell="B5" sqref="B5"/>
      <selection pane="bottomRight" activeCell="E35" sqref="E35"/>
    </sheetView>
  </sheetViews>
  <sheetFormatPr defaultRowHeight="12.75" x14ac:dyDescent="0.2"/>
  <cols>
    <col min="1" max="1" width="20.7109375" style="3" customWidth="1"/>
    <col min="2" max="2" width="3.42578125" style="3" customWidth="1"/>
    <col min="3" max="3" width="27.85546875" customWidth="1"/>
    <col min="4" max="16" width="10.140625" style="3" bestFit="1" customWidth="1"/>
    <col min="17" max="37" width="9.140625" style="3"/>
    <col min="38" max="38" width="12.7109375" style="3" bestFit="1" customWidth="1"/>
    <col min="39" max="39" width="10.5703125" style="3" bestFit="1" customWidth="1"/>
    <col min="40" max="16384" width="9.140625" style="3"/>
  </cols>
  <sheetData>
    <row r="1" spans="3:36" customFormat="1" x14ac:dyDescent="0.2"/>
    <row r="2" spans="3:36" customFormat="1" ht="34.5" x14ac:dyDescent="0.45">
      <c r="C2" s="2" t="s">
        <v>0</v>
      </c>
    </row>
    <row r="3" spans="3:36" customFormat="1" x14ac:dyDescent="0.2">
      <c r="C3" s="1" t="s">
        <v>1</v>
      </c>
      <c r="D3" s="12">
        <v>44286</v>
      </c>
      <c r="E3" s="12">
        <v>44377</v>
      </c>
      <c r="F3" s="12">
        <v>44469</v>
      </c>
      <c r="G3" s="12">
        <v>44561</v>
      </c>
      <c r="H3" s="12">
        <v>44651</v>
      </c>
      <c r="I3" s="12">
        <v>44742</v>
      </c>
      <c r="J3" s="12">
        <v>44834</v>
      </c>
      <c r="K3" s="12">
        <v>44926</v>
      </c>
      <c r="L3" s="12">
        <v>45016</v>
      </c>
      <c r="M3" s="12">
        <v>45107</v>
      </c>
      <c r="N3" s="12">
        <v>45199</v>
      </c>
      <c r="O3" s="12">
        <v>45291</v>
      </c>
      <c r="P3" s="12">
        <v>45382</v>
      </c>
    </row>
    <row r="4" spans="3:36" customFormat="1" x14ac:dyDescent="0.2">
      <c r="C4" s="1" t="s">
        <v>2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9</v>
      </c>
      <c r="Q4" s="4" t="s">
        <v>22</v>
      </c>
      <c r="R4" s="4" t="s">
        <v>23</v>
      </c>
      <c r="S4" s="4" t="s">
        <v>24</v>
      </c>
      <c r="U4">
        <v>2018</v>
      </c>
      <c r="V4">
        <f>+U4+1</f>
        <v>2019</v>
      </c>
      <c r="W4">
        <f t="shared" ref="W4:AJ4" si="0">+V4+1</f>
        <v>2020</v>
      </c>
      <c r="X4">
        <f t="shared" si="0"/>
        <v>2021</v>
      </c>
      <c r="Y4">
        <f t="shared" si="0"/>
        <v>2022</v>
      </c>
      <c r="Z4">
        <f t="shared" si="0"/>
        <v>2023</v>
      </c>
      <c r="AA4">
        <f t="shared" si="0"/>
        <v>2024</v>
      </c>
      <c r="AB4">
        <f t="shared" si="0"/>
        <v>2025</v>
      </c>
      <c r="AC4">
        <f t="shared" si="0"/>
        <v>2026</v>
      </c>
      <c r="AD4">
        <f t="shared" si="0"/>
        <v>2027</v>
      </c>
      <c r="AE4">
        <f t="shared" si="0"/>
        <v>2028</v>
      </c>
      <c r="AF4">
        <f t="shared" si="0"/>
        <v>2029</v>
      </c>
      <c r="AG4">
        <f t="shared" si="0"/>
        <v>2030</v>
      </c>
      <c r="AH4">
        <f t="shared" si="0"/>
        <v>2031</v>
      </c>
      <c r="AI4">
        <f t="shared" si="0"/>
        <v>2032</v>
      </c>
      <c r="AJ4">
        <f t="shared" si="0"/>
        <v>2033</v>
      </c>
    </row>
    <row r="5" spans="3:36" x14ac:dyDescent="0.2">
      <c r="C5" s="6" t="s">
        <v>25</v>
      </c>
      <c r="D5" s="3">
        <v>106</v>
      </c>
      <c r="E5" s="3">
        <v>156</v>
      </c>
      <c r="F5" s="3">
        <v>190</v>
      </c>
      <c r="G5" s="3">
        <v>217</v>
      </c>
      <c r="H5" s="3">
        <v>213</v>
      </c>
      <c r="I5" s="3">
        <v>269</v>
      </c>
      <c r="J5" s="3">
        <v>275</v>
      </c>
      <c r="K5" s="3">
        <v>287</v>
      </c>
      <c r="L5" s="3">
        <v>293</v>
      </c>
      <c r="M5" s="3">
        <v>318</v>
      </c>
      <c r="N5" s="3">
        <v>306</v>
      </c>
      <c r="O5" s="3">
        <v>321</v>
      </c>
      <c r="P5" s="3">
        <v>313</v>
      </c>
      <c r="U5" s="3">
        <v>1140</v>
      </c>
      <c r="V5" s="3">
        <v>1180</v>
      </c>
      <c r="W5" s="3">
        <v>443</v>
      </c>
      <c r="X5" s="3">
        <v>669</v>
      </c>
      <c r="Y5" s="3">
        <v>1044</v>
      </c>
      <c r="Z5" s="3">
        <v>1238</v>
      </c>
    </row>
    <row r="6" spans="3:36" x14ac:dyDescent="0.2">
      <c r="C6" s="6" t="s">
        <v>26</v>
      </c>
      <c r="D6" s="3">
        <v>306</v>
      </c>
      <c r="E6" s="3">
        <v>431</v>
      </c>
      <c r="F6" s="3">
        <v>533</v>
      </c>
      <c r="G6" s="3">
        <v>520</v>
      </c>
      <c r="H6" s="3">
        <v>500</v>
      </c>
      <c r="I6" s="3">
        <v>669</v>
      </c>
      <c r="J6" s="3">
        <v>678</v>
      </c>
      <c r="K6" s="3">
        <v>658</v>
      </c>
      <c r="L6" s="3">
        <v>639</v>
      </c>
      <c r="M6" s="3">
        <v>739</v>
      </c>
      <c r="N6" s="3">
        <v>748</v>
      </c>
      <c r="O6" s="3">
        <v>705</v>
      </c>
      <c r="P6" s="3">
        <v>688</v>
      </c>
      <c r="U6" s="3">
        <v>1849</v>
      </c>
      <c r="V6" s="3">
        <v>2006</v>
      </c>
      <c r="W6" s="3">
        <v>1153</v>
      </c>
      <c r="X6" s="3">
        <v>1790</v>
      </c>
      <c r="Y6" s="3">
        <v>2505</v>
      </c>
      <c r="Z6" s="3">
        <v>2831</v>
      </c>
    </row>
    <row r="7" spans="3:36" x14ac:dyDescent="0.2">
      <c r="C7" s="6" t="s">
        <v>27</v>
      </c>
      <c r="D7" s="3">
        <v>33</v>
      </c>
      <c r="E7" s="3">
        <v>55</v>
      </c>
      <c r="F7" s="3">
        <v>53</v>
      </c>
      <c r="G7" s="3">
        <v>94</v>
      </c>
      <c r="H7" s="3">
        <v>102</v>
      </c>
      <c r="I7" s="3">
        <v>135</v>
      </c>
      <c r="J7" s="3">
        <v>106</v>
      </c>
      <c r="K7" s="3">
        <v>186</v>
      </c>
      <c r="L7" s="3">
        <v>201</v>
      </c>
      <c r="M7" s="3">
        <v>193</v>
      </c>
      <c r="N7" s="3">
        <v>143</v>
      </c>
      <c r="O7" s="3">
        <v>218</v>
      </c>
      <c r="P7" s="3">
        <v>209</v>
      </c>
      <c r="U7" s="3">
        <v>649</v>
      </c>
      <c r="V7" s="3">
        <v>637</v>
      </c>
      <c r="W7" s="3">
        <v>87</v>
      </c>
      <c r="X7" s="3">
        <v>235</v>
      </c>
      <c r="Y7" s="3">
        <v>529</v>
      </c>
      <c r="Z7" s="3">
        <v>755</v>
      </c>
    </row>
    <row r="8" spans="3:36" x14ac:dyDescent="0.2">
      <c r="C8" s="7" t="s">
        <v>28</v>
      </c>
      <c r="D8" s="3">
        <v>-17</v>
      </c>
      <c r="E8" s="3">
        <v>-18</v>
      </c>
      <c r="F8" s="3">
        <v>-21</v>
      </c>
      <c r="G8" s="3">
        <v>-19</v>
      </c>
      <c r="H8" s="3">
        <v>-24</v>
      </c>
      <c r="I8" s="3">
        <v>-19</v>
      </c>
      <c r="J8" s="3">
        <v>-22</v>
      </c>
      <c r="K8" s="3">
        <v>-24</v>
      </c>
      <c r="L8" s="3">
        <v>-21</v>
      </c>
      <c r="M8" s="3">
        <v>-22</v>
      </c>
      <c r="N8" s="3">
        <v>-23</v>
      </c>
      <c r="O8" s="3">
        <v>-22</v>
      </c>
      <c r="P8" s="3">
        <v>-23</v>
      </c>
      <c r="U8" s="3">
        <v>-58</v>
      </c>
      <c r="V8" s="3">
        <v>-62</v>
      </c>
      <c r="W8" s="3">
        <v>-132</v>
      </c>
      <c r="X8" s="3">
        <v>-75</v>
      </c>
      <c r="Y8" s="3">
        <v>-89</v>
      </c>
      <c r="Z8" s="3">
        <v>-88</v>
      </c>
    </row>
    <row r="9" spans="3:36" x14ac:dyDescent="0.2">
      <c r="C9" t="s">
        <v>47</v>
      </c>
      <c r="D9" s="3">
        <f>+SUM(D5:D7)+D8</f>
        <v>428</v>
      </c>
      <c r="E9" s="3">
        <f>+SUM(E5:E7)+E8</f>
        <v>624</v>
      </c>
      <c r="F9" s="3">
        <f>+SUM(F5:F7)+F8</f>
        <v>755</v>
      </c>
      <c r="G9" s="3">
        <f>+SUM(G5:G7)+G8</f>
        <v>812</v>
      </c>
      <c r="H9" s="3">
        <f>+SUM(H5:H7)+H8</f>
        <v>791</v>
      </c>
      <c r="I9" s="3">
        <f>+SUM(I5:I7)+I8</f>
        <v>1054</v>
      </c>
      <c r="J9" s="3">
        <f>+SUM(J5:J7)+J8</f>
        <v>1037</v>
      </c>
      <c r="K9" s="3">
        <f>+SUM(K5:K7)+K8</f>
        <v>1107</v>
      </c>
      <c r="L9" s="3">
        <f>+SUM(L5:L7)+L8</f>
        <v>1112</v>
      </c>
      <c r="M9" s="3">
        <f>+SUM(M5:M7)+M8</f>
        <v>1228</v>
      </c>
      <c r="N9" s="3">
        <f>+SUM(N5:N7)+N8</f>
        <v>1174</v>
      </c>
      <c r="O9" s="3">
        <f>+SUM(O5:O7)+O8</f>
        <v>1222</v>
      </c>
      <c r="P9" s="3">
        <f>+SUM(P5:P7)+P8</f>
        <v>1187</v>
      </c>
      <c r="Q9" s="3">
        <f>+M9*1.05</f>
        <v>1289.4000000000001</v>
      </c>
      <c r="R9" s="3">
        <f t="shared" ref="R9:S9" si="1">+N9*1.05</f>
        <v>1232.7</v>
      </c>
      <c r="S9" s="3">
        <f t="shared" si="1"/>
        <v>1283.1000000000001</v>
      </c>
      <c r="U9" s="3">
        <f>+SUM(U5:U7)+U8</f>
        <v>3580</v>
      </c>
      <c r="V9" s="3">
        <f>+SUM(V5:V7)+V8</f>
        <v>3761</v>
      </c>
      <c r="W9" s="3">
        <f>+SUM(W5:W7)+W8</f>
        <v>1551</v>
      </c>
      <c r="X9" s="3">
        <f>+SUM(X5:X7)+X8</f>
        <v>2619</v>
      </c>
      <c r="Y9" s="3">
        <f>+SUM(Y5:Y7)+Y8</f>
        <v>3989</v>
      </c>
      <c r="Z9" s="3">
        <f>+SUM(Z5:Z7)+Z8</f>
        <v>4736</v>
      </c>
    </row>
    <row r="10" spans="3:36" x14ac:dyDescent="0.2">
      <c r="C10" t="s">
        <v>29</v>
      </c>
      <c r="D10" s="3">
        <v>108</v>
      </c>
      <c r="E10" s="3">
        <v>187</v>
      </c>
      <c r="F10" s="3">
        <v>241</v>
      </c>
      <c r="G10" s="3">
        <v>260</v>
      </c>
      <c r="H10" s="3">
        <v>262</v>
      </c>
      <c r="I10" s="3">
        <v>364</v>
      </c>
      <c r="J10" s="3">
        <v>345</v>
      </c>
      <c r="K10" s="3">
        <v>396</v>
      </c>
      <c r="L10" s="3">
        <v>356</v>
      </c>
      <c r="M10" s="3">
        <v>390</v>
      </c>
      <c r="N10" s="3">
        <v>363</v>
      </c>
      <c r="O10" s="3">
        <v>455</v>
      </c>
      <c r="P10" s="3">
        <v>357</v>
      </c>
      <c r="U10" s="3">
        <v>1635</v>
      </c>
      <c r="V10" s="3">
        <v>1612</v>
      </c>
      <c r="W10" s="3">
        <v>568</v>
      </c>
      <c r="X10" s="3">
        <v>796</v>
      </c>
      <c r="Y10" s="3">
        <v>1367</v>
      </c>
      <c r="Z10" s="3">
        <v>1564</v>
      </c>
    </row>
    <row r="11" spans="3:36" x14ac:dyDescent="0.2">
      <c r="C11" t="s">
        <v>30</v>
      </c>
      <c r="D11" s="3">
        <v>1780</v>
      </c>
      <c r="E11" s="3">
        <v>2338</v>
      </c>
      <c r="F11" s="3">
        <v>2950</v>
      </c>
      <c r="G11" s="3">
        <v>3374</v>
      </c>
      <c r="H11" s="3">
        <v>3146</v>
      </c>
      <c r="I11" s="3">
        <v>3920</v>
      </c>
      <c r="J11" s="3">
        <v>3931</v>
      </c>
      <c r="K11" s="3">
        <v>4420</v>
      </c>
      <c r="L11" s="3">
        <v>4147</v>
      </c>
      <c r="M11" s="3">
        <v>4457</v>
      </c>
      <c r="N11" s="3">
        <v>4391</v>
      </c>
      <c r="O11" s="3">
        <v>4418</v>
      </c>
      <c r="P11" s="3">
        <v>4433</v>
      </c>
      <c r="U11" s="3">
        <v>15543</v>
      </c>
      <c r="V11" s="3">
        <v>15599</v>
      </c>
      <c r="W11" s="3">
        <v>8452</v>
      </c>
      <c r="X11" s="3">
        <v>10442</v>
      </c>
      <c r="Y11" s="3">
        <v>15417</v>
      </c>
      <c r="Z11" s="3">
        <v>17413</v>
      </c>
    </row>
    <row r="12" spans="3:36" s="9" customFormat="1" x14ac:dyDescent="0.2">
      <c r="C12" s="5" t="s">
        <v>31</v>
      </c>
      <c r="D12" s="9">
        <f>+SUM(D9:D11)</f>
        <v>2316</v>
      </c>
      <c r="E12" s="9">
        <f>+SUM(E9:E11)</f>
        <v>3149</v>
      </c>
      <c r="F12" s="9">
        <f>+SUM(F9:F11)</f>
        <v>3946</v>
      </c>
      <c r="G12" s="9">
        <f>+SUM(G9:G11)</f>
        <v>4446</v>
      </c>
      <c r="H12" s="9">
        <f>+SUM(H9:H11)</f>
        <v>4199</v>
      </c>
      <c r="I12" s="9">
        <f>+SUM(I9:I11)</f>
        <v>5338</v>
      </c>
      <c r="J12" s="9">
        <f>+SUM(J9:J11)</f>
        <v>5313</v>
      </c>
      <c r="K12" s="9">
        <f>+SUM(K9:K11)</f>
        <v>5923</v>
      </c>
      <c r="L12" s="9">
        <f>+SUM(L9:L11)</f>
        <v>5615</v>
      </c>
      <c r="M12" s="9">
        <f>+SUM(M9:M11)</f>
        <v>6075</v>
      </c>
      <c r="N12" s="9">
        <f>+SUM(N9:N11)</f>
        <v>5928</v>
      </c>
      <c r="O12" s="9">
        <f>+SUM(O9:O11)</f>
        <v>6095</v>
      </c>
      <c r="P12" s="9">
        <f>+SUM(P9:P11)</f>
        <v>5977</v>
      </c>
      <c r="Q12" s="9">
        <f>+M12*1.1</f>
        <v>6682.5000000000009</v>
      </c>
      <c r="R12" s="9">
        <f t="shared" ref="R12:S12" si="2">+N12*1.1</f>
        <v>6520.8</v>
      </c>
      <c r="S12" s="9">
        <f t="shared" si="2"/>
        <v>6704.5000000000009</v>
      </c>
      <c r="U12" s="9">
        <f>+SUM(U9:U11)</f>
        <v>20758</v>
      </c>
      <c r="V12" s="9">
        <f>+SUM(V9:V11)</f>
        <v>20972</v>
      </c>
      <c r="W12" s="9">
        <f>+SUM(W9:W11)</f>
        <v>10571</v>
      </c>
      <c r="X12" s="9">
        <f>+SUM(X9:X11)</f>
        <v>13857</v>
      </c>
      <c r="Y12" s="9">
        <f>+SUM(Y9:Y11)</f>
        <v>20773</v>
      </c>
      <c r="Z12" s="9">
        <f>+SUM(Z9:Z11)</f>
        <v>23713</v>
      </c>
      <c r="AA12" s="9">
        <f>+SUM(P12:S12)</f>
        <v>25884.799999999999</v>
      </c>
      <c r="AB12" s="9">
        <f>+AA12*1.15</f>
        <v>29767.519999999997</v>
      </c>
      <c r="AC12" s="9">
        <f t="shared" ref="AC12:AJ12" si="3">+AB12*1.15</f>
        <v>34232.647999999994</v>
      </c>
      <c r="AD12" s="9">
        <f t="shared" si="3"/>
        <v>39367.545199999993</v>
      </c>
      <c r="AE12" s="9">
        <f t="shared" si="3"/>
        <v>45272.676979999989</v>
      </c>
      <c r="AF12" s="9">
        <f t="shared" si="3"/>
        <v>52063.578526999983</v>
      </c>
      <c r="AG12" s="9">
        <f t="shared" si="3"/>
        <v>59873.115306049978</v>
      </c>
      <c r="AH12" s="9">
        <f>+AG12*1.15</f>
        <v>68854.082601957474</v>
      </c>
      <c r="AI12" s="9">
        <f t="shared" si="3"/>
        <v>79182.194992251083</v>
      </c>
      <c r="AJ12" s="9">
        <f t="shared" si="3"/>
        <v>91059.524241088744</v>
      </c>
    </row>
    <row r="13" spans="3:36" x14ac:dyDescent="0.2">
      <c r="C13" t="s">
        <v>29</v>
      </c>
      <c r="D13" s="3">
        <v>135</v>
      </c>
      <c r="E13" s="3">
        <v>168</v>
      </c>
      <c r="F13" s="3">
        <v>204</v>
      </c>
      <c r="G13" s="3">
        <v>227</v>
      </c>
      <c r="H13" s="3">
        <v>197</v>
      </c>
      <c r="I13" s="3">
        <v>281</v>
      </c>
      <c r="J13" s="3">
        <v>301</v>
      </c>
      <c r="K13" s="3">
        <v>295</v>
      </c>
      <c r="L13" s="3">
        <v>281</v>
      </c>
      <c r="M13" s="3">
        <v>287</v>
      </c>
      <c r="N13" s="3">
        <v>293</v>
      </c>
      <c r="O13" s="3">
        <v>304</v>
      </c>
      <c r="P13" s="3">
        <v>286</v>
      </c>
      <c r="Q13" s="3">
        <f>+M13*1.11</f>
        <v>318.57000000000005</v>
      </c>
      <c r="R13" s="3">
        <f t="shared" ref="R13:S13" si="4">+N13*1.11</f>
        <v>325.23</v>
      </c>
      <c r="S13" s="3">
        <f t="shared" si="4"/>
        <v>337.44000000000005</v>
      </c>
      <c r="U13" s="3">
        <v>1306</v>
      </c>
      <c r="V13" s="3">
        <v>1316</v>
      </c>
      <c r="W13" s="3">
        <v>677</v>
      </c>
      <c r="X13" s="3">
        <v>734</v>
      </c>
      <c r="Y13" s="3">
        <v>1074</v>
      </c>
      <c r="Z13" s="3">
        <v>1165</v>
      </c>
      <c r="AA13" s="3">
        <f>+SUM(P13:S13)</f>
        <v>1267.2400000000002</v>
      </c>
      <c r="AB13" s="3">
        <f>+AA13*1.11</f>
        <v>1406.6364000000003</v>
      </c>
      <c r="AC13" s="3">
        <f t="shared" ref="AC13:AJ13" si="5">+AB13*1.11</f>
        <v>1561.3664040000006</v>
      </c>
      <c r="AD13" s="3">
        <f t="shared" si="5"/>
        <v>1733.1167084400008</v>
      </c>
      <c r="AE13" s="3">
        <f t="shared" si="5"/>
        <v>1923.7595463684011</v>
      </c>
      <c r="AF13" s="3">
        <f t="shared" si="5"/>
        <v>2135.3730964689253</v>
      </c>
      <c r="AG13" s="3">
        <f t="shared" si="5"/>
        <v>2370.2641370805072</v>
      </c>
      <c r="AH13" s="3">
        <f t="shared" si="5"/>
        <v>2630.9931921593634</v>
      </c>
      <c r="AI13" s="3">
        <f t="shared" si="5"/>
        <v>2920.4024432968936</v>
      </c>
      <c r="AJ13" s="3">
        <f t="shared" si="5"/>
        <v>3241.6467120595521</v>
      </c>
    </row>
    <row r="14" spans="3:36" x14ac:dyDescent="0.2">
      <c r="C14" t="s">
        <v>32</v>
      </c>
      <c r="D14" s="3">
        <v>211</v>
      </c>
      <c r="E14" s="3">
        <v>187</v>
      </c>
      <c r="F14" s="3">
        <v>212</v>
      </c>
      <c r="G14" s="3">
        <v>213</v>
      </c>
      <c r="H14" s="3">
        <v>208</v>
      </c>
      <c r="I14" s="3">
        <v>231</v>
      </c>
      <c r="J14" s="3">
        <v>216</v>
      </c>
      <c r="K14" s="3">
        <v>236</v>
      </c>
      <c r="L14" s="3">
        <v>202</v>
      </c>
      <c r="M14" s="3">
        <v>240</v>
      </c>
      <c r="N14" s="3">
        <v>239</v>
      </c>
      <c r="O14" s="3">
        <v>330</v>
      </c>
      <c r="P14" s="3">
        <v>261</v>
      </c>
      <c r="Q14" s="3">
        <f>+M14*1.13</f>
        <v>271.2</v>
      </c>
      <c r="R14" s="3">
        <f t="shared" ref="R14:S14" si="6">+N14*1.13</f>
        <v>270.07</v>
      </c>
      <c r="S14" s="3">
        <f t="shared" si="6"/>
        <v>372.9</v>
      </c>
      <c r="U14" s="3">
        <v>927</v>
      </c>
      <c r="V14" s="3">
        <v>938</v>
      </c>
      <c r="W14" s="3">
        <v>762</v>
      </c>
      <c r="X14" s="3">
        <v>823</v>
      </c>
      <c r="Y14" s="3">
        <v>891</v>
      </c>
      <c r="Z14" s="3">
        <v>1011</v>
      </c>
      <c r="AA14" s="3">
        <f>+SUM(P14:S14)</f>
        <v>1175.17</v>
      </c>
      <c r="AB14" s="3">
        <f>+AA14*1.13</f>
        <v>1327.9421</v>
      </c>
      <c r="AC14" s="3">
        <f t="shared" ref="AC14:AJ14" si="7">+AB14*1.13</f>
        <v>1500.5745729999999</v>
      </c>
      <c r="AD14" s="3">
        <f t="shared" si="7"/>
        <v>1695.6492674899996</v>
      </c>
      <c r="AE14" s="3">
        <f t="shared" si="7"/>
        <v>1916.0836722636993</v>
      </c>
      <c r="AF14" s="3">
        <f t="shared" si="7"/>
        <v>2165.1745496579802</v>
      </c>
      <c r="AG14" s="3">
        <f t="shared" si="7"/>
        <v>2446.6472411135173</v>
      </c>
      <c r="AH14" s="3">
        <f t="shared" si="7"/>
        <v>2764.7113824582743</v>
      </c>
      <c r="AI14" s="3">
        <f t="shared" si="7"/>
        <v>3124.1238621778498</v>
      </c>
      <c r="AJ14" s="3">
        <f t="shared" si="7"/>
        <v>3530.2599642609698</v>
      </c>
    </row>
    <row r="15" spans="3:36" x14ac:dyDescent="0.2">
      <c r="C15" t="s">
        <v>33</v>
      </c>
      <c r="D15" s="3">
        <v>1833</v>
      </c>
      <c r="E15" s="3">
        <v>2255</v>
      </c>
      <c r="F15" s="3">
        <v>2917</v>
      </c>
      <c r="G15" s="3">
        <v>3317</v>
      </c>
      <c r="H15" s="3">
        <v>3179</v>
      </c>
      <c r="I15" s="3">
        <v>3827</v>
      </c>
      <c r="J15" s="3">
        <v>3786</v>
      </c>
      <c r="K15" s="3">
        <v>4349</v>
      </c>
      <c r="L15" s="3">
        <v>4136</v>
      </c>
      <c r="M15" s="3">
        <v>4366</v>
      </c>
      <c r="N15" s="3">
        <v>4238</v>
      </c>
      <c r="O15" s="3">
        <v>4684</v>
      </c>
      <c r="P15" s="3">
        <v>4501</v>
      </c>
      <c r="Q15" s="3">
        <f>+M15*1.16</f>
        <v>5064.5599999999995</v>
      </c>
      <c r="R15" s="3">
        <f t="shared" ref="R15:S15" si="8">+N15*1.16</f>
        <v>4916.08</v>
      </c>
      <c r="S15" s="3">
        <f t="shared" si="8"/>
        <v>5433.44</v>
      </c>
      <c r="U15" s="3">
        <v>15778</v>
      </c>
      <c r="V15" s="3">
        <v>16439</v>
      </c>
      <c r="W15" s="3">
        <v>8435</v>
      </c>
      <c r="X15" s="3">
        <v>10322</v>
      </c>
      <c r="Y15" s="3">
        <v>15141</v>
      </c>
      <c r="Z15" s="3">
        <v>17424</v>
      </c>
      <c r="AA15" s="3">
        <f>+SUM(P15:S15)</f>
        <v>19915.079999999998</v>
      </c>
      <c r="AB15" s="3">
        <f>+AA15*1.16</f>
        <v>23101.492799999996</v>
      </c>
      <c r="AC15" s="3">
        <f t="shared" ref="AC15:AJ15" si="9">+AB15*1.16</f>
        <v>26797.731647999994</v>
      </c>
      <c r="AD15" s="3">
        <f t="shared" si="9"/>
        <v>31085.368711679992</v>
      </c>
      <c r="AE15" s="3">
        <f t="shared" si="9"/>
        <v>36059.02770554879</v>
      </c>
      <c r="AF15" s="3">
        <f t="shared" si="9"/>
        <v>41828.472138436591</v>
      </c>
      <c r="AG15" s="3">
        <f t="shared" si="9"/>
        <v>48521.027680586441</v>
      </c>
      <c r="AH15" s="3">
        <f t="shared" si="9"/>
        <v>56284.392109480272</v>
      </c>
      <c r="AI15" s="3">
        <f t="shared" si="9"/>
        <v>65289.894846997107</v>
      </c>
      <c r="AJ15" s="3">
        <f t="shared" si="9"/>
        <v>75736.278022516635</v>
      </c>
    </row>
    <row r="16" spans="3:36" x14ac:dyDescent="0.2">
      <c r="C16" t="s">
        <v>34</v>
      </c>
      <c r="D16" s="3">
        <f>+SUM(D13:D15)</f>
        <v>2179</v>
      </c>
      <c r="E16" s="3">
        <f>+SUM(E13:E15)</f>
        <v>2610</v>
      </c>
      <c r="F16" s="3">
        <f>+SUM(F13:F15)</f>
        <v>3333</v>
      </c>
      <c r="G16" s="3">
        <f>+SUM(G13:G15)</f>
        <v>3757</v>
      </c>
      <c r="H16" s="3">
        <f>+SUM(H13:H15)</f>
        <v>3584</v>
      </c>
      <c r="I16" s="3">
        <f>+SUM(I13:I15)</f>
        <v>4339</v>
      </c>
      <c r="J16" s="3">
        <f>+SUM(J13:J15)</f>
        <v>4303</v>
      </c>
      <c r="K16" s="3">
        <f>+SUM(K13:K15)</f>
        <v>4880</v>
      </c>
      <c r="L16" s="3">
        <f>+SUM(L13:L15)</f>
        <v>4619</v>
      </c>
      <c r="M16" s="3">
        <f>+SUM(M13:M15)</f>
        <v>4893</v>
      </c>
      <c r="N16" s="3">
        <f>+SUM(N13:N15)</f>
        <v>4770</v>
      </c>
      <c r="O16" s="3">
        <f>+SUM(O13:O15)</f>
        <v>5318</v>
      </c>
      <c r="P16" s="3">
        <f>+SUM(P13:P15)</f>
        <v>5048</v>
      </c>
      <c r="Q16" s="3">
        <f t="shared" ref="Q16:S16" si="10">+SUM(Q13:Q15)</f>
        <v>5654.33</v>
      </c>
      <c r="R16" s="3">
        <f t="shared" si="10"/>
        <v>5511.38</v>
      </c>
      <c r="S16" s="3">
        <f t="shared" si="10"/>
        <v>6143.78</v>
      </c>
      <c r="U16" s="3">
        <f>+SUM(U13:U15)</f>
        <v>18011</v>
      </c>
      <c r="V16" s="3">
        <f>+SUM(V13:V15)</f>
        <v>18693</v>
      </c>
      <c r="W16" s="3">
        <f>+SUM(W13:W15)</f>
        <v>9874</v>
      </c>
      <c r="X16" s="3">
        <f>+SUM(X13:X15)</f>
        <v>11879</v>
      </c>
      <c r="Y16" s="3">
        <f>+SUM(Y13:Y15)</f>
        <v>17106</v>
      </c>
      <c r="Z16" s="3">
        <f>+SUM(Z13:Z15)</f>
        <v>19600</v>
      </c>
      <c r="AA16" s="3">
        <f>+SUM(AA13:AA15)</f>
        <v>22357.489999999998</v>
      </c>
      <c r="AB16" s="3">
        <f>+SUM(AB13:AB15)</f>
        <v>25836.071299999996</v>
      </c>
      <c r="AC16" s="3">
        <f t="shared" ref="AC16:AJ16" si="11">+SUM(AC13:AC15)</f>
        <v>29859.672624999992</v>
      </c>
      <c r="AD16" s="3">
        <f t="shared" si="11"/>
        <v>34514.134687609992</v>
      </c>
      <c r="AE16" s="3">
        <f t="shared" si="11"/>
        <v>39898.87092418089</v>
      </c>
      <c r="AF16" s="3">
        <f t="shared" si="11"/>
        <v>46129.019784563498</v>
      </c>
      <c r="AG16" s="3">
        <f t="shared" si="11"/>
        <v>53337.939058780466</v>
      </c>
      <c r="AH16" s="3">
        <f t="shared" si="11"/>
        <v>61680.096684097909</v>
      </c>
      <c r="AI16" s="3">
        <f t="shared" si="11"/>
        <v>71334.421152471856</v>
      </c>
      <c r="AJ16" s="3">
        <f t="shared" si="11"/>
        <v>82508.184698837154</v>
      </c>
    </row>
    <row r="17" spans="3:137" s="9" customFormat="1" x14ac:dyDescent="0.2">
      <c r="C17" s="5" t="s">
        <v>35</v>
      </c>
      <c r="D17" s="9">
        <f>+D12-D16</f>
        <v>137</v>
      </c>
      <c r="E17" s="9">
        <f>+E12-E16</f>
        <v>539</v>
      </c>
      <c r="F17" s="9">
        <f>+F12-F16</f>
        <v>613</v>
      </c>
      <c r="G17" s="9">
        <f>+G12-G16</f>
        <v>689</v>
      </c>
      <c r="H17" s="9">
        <f>+H12-H16</f>
        <v>615</v>
      </c>
      <c r="I17" s="9">
        <f>+I12-I16</f>
        <v>999</v>
      </c>
      <c r="J17" s="9">
        <f>+J12-J16</f>
        <v>1010</v>
      </c>
      <c r="K17" s="9">
        <f>+K12-K16</f>
        <v>1043</v>
      </c>
      <c r="L17" s="9">
        <f>+L12-L16</f>
        <v>996</v>
      </c>
      <c r="M17" s="9">
        <f>+M12-M16</f>
        <v>1182</v>
      </c>
      <c r="N17" s="9">
        <f>+N12-N16</f>
        <v>1158</v>
      </c>
      <c r="O17" s="9">
        <f>+O12-O16</f>
        <v>777</v>
      </c>
      <c r="P17" s="9">
        <f>+P12-P16</f>
        <v>929</v>
      </c>
      <c r="Q17" s="9">
        <f t="shared" ref="Q17:S17" si="12">+Q12-Q16</f>
        <v>1028.170000000001</v>
      </c>
      <c r="R17" s="9">
        <f t="shared" si="12"/>
        <v>1009.4200000000001</v>
      </c>
      <c r="S17" s="9">
        <f t="shared" si="12"/>
        <v>560.72000000000116</v>
      </c>
      <c r="U17" s="9">
        <f>+U12-U16</f>
        <v>2747</v>
      </c>
      <c r="V17" s="9">
        <f>+V12-V16</f>
        <v>2279</v>
      </c>
      <c r="W17" s="9">
        <f>+W12-W16</f>
        <v>697</v>
      </c>
      <c r="X17" s="9">
        <f>+X12-X16</f>
        <v>1978</v>
      </c>
      <c r="Y17" s="9">
        <f>+Y12-Y16</f>
        <v>3667</v>
      </c>
      <c r="Z17" s="9">
        <f>+Z12-Z16</f>
        <v>4113</v>
      </c>
      <c r="AA17" s="9">
        <f>+AA12-AA16</f>
        <v>3527.3100000000013</v>
      </c>
      <c r="AB17" s="9">
        <f>+AB12-AB16</f>
        <v>3931.4487000000008</v>
      </c>
      <c r="AC17" s="9">
        <f t="shared" ref="AC17:AJ17" si="13">+AC12-AC16</f>
        <v>4372.9753750000018</v>
      </c>
      <c r="AD17" s="9">
        <f t="shared" si="13"/>
        <v>4853.4105123900008</v>
      </c>
      <c r="AE17" s="9">
        <f t="shared" si="13"/>
        <v>5373.8060558190991</v>
      </c>
      <c r="AF17" s="9">
        <f t="shared" si="13"/>
        <v>5934.5587424364858</v>
      </c>
      <c r="AG17" s="9">
        <f t="shared" si="13"/>
        <v>6535.1762472695118</v>
      </c>
      <c r="AH17" s="9">
        <f t="shared" si="13"/>
        <v>7173.9859178595652</v>
      </c>
      <c r="AI17" s="9">
        <f t="shared" si="13"/>
        <v>7847.7738397792273</v>
      </c>
      <c r="AJ17" s="9">
        <f t="shared" si="13"/>
        <v>8551.3395422515896</v>
      </c>
    </row>
    <row r="18" spans="3:137" x14ac:dyDescent="0.2">
      <c r="C18" t="s">
        <v>36</v>
      </c>
      <c r="D18" s="3">
        <v>1</v>
      </c>
      <c r="E18" s="3">
        <v>5</v>
      </c>
      <c r="F18" s="3">
        <v>0</v>
      </c>
      <c r="G18" s="3">
        <v>4</v>
      </c>
      <c r="H18" s="3">
        <v>4</v>
      </c>
      <c r="I18" s="3">
        <v>2</v>
      </c>
      <c r="J18" s="3">
        <v>3</v>
      </c>
      <c r="K18" s="3">
        <v>2</v>
      </c>
      <c r="L18" s="3">
        <v>3</v>
      </c>
      <c r="M18" s="3">
        <v>2</v>
      </c>
      <c r="N18" s="3">
        <v>28</v>
      </c>
      <c r="O18" s="3">
        <v>7</v>
      </c>
      <c r="P18" s="3">
        <v>4</v>
      </c>
      <c r="Q18" s="3">
        <v>10</v>
      </c>
      <c r="R18" s="3">
        <v>10</v>
      </c>
      <c r="S18" s="3">
        <v>10</v>
      </c>
      <c r="U18" s="3">
        <v>194</v>
      </c>
      <c r="V18" s="3">
        <v>154</v>
      </c>
      <c r="W18" s="3">
        <v>84</v>
      </c>
      <c r="X18" s="3">
        <v>10</v>
      </c>
      <c r="Y18" s="3">
        <v>11</v>
      </c>
      <c r="Z18" s="3">
        <v>40</v>
      </c>
      <c r="AA18" s="3">
        <f>SUM(P18:S18)</f>
        <v>34</v>
      </c>
      <c r="AB18" s="3">
        <v>40</v>
      </c>
      <c r="AC18" s="3">
        <v>40</v>
      </c>
      <c r="AD18" s="3">
        <v>40</v>
      </c>
      <c r="AE18" s="3">
        <v>40</v>
      </c>
      <c r="AF18" s="3">
        <v>40</v>
      </c>
      <c r="AG18" s="3">
        <v>40</v>
      </c>
      <c r="AH18" s="3">
        <v>40</v>
      </c>
      <c r="AI18" s="3">
        <v>40</v>
      </c>
      <c r="AJ18" s="3">
        <v>40</v>
      </c>
    </row>
    <row r="19" spans="3:137" x14ac:dyDescent="0.2">
      <c r="C19" t="s">
        <v>37</v>
      </c>
      <c r="D19" s="3">
        <v>-107</v>
      </c>
      <c r="E19" s="3">
        <v>-109</v>
      </c>
      <c r="F19" s="3">
        <v>-107</v>
      </c>
      <c r="G19" s="3">
        <v>-97</v>
      </c>
      <c r="H19" s="3">
        <v>-93</v>
      </c>
      <c r="I19" s="3">
        <v>-95</v>
      </c>
      <c r="J19" s="3">
        <v>-100</v>
      </c>
      <c r="K19" s="3">
        <v>-115</v>
      </c>
      <c r="L19" s="3">
        <v>-126</v>
      </c>
      <c r="M19" s="3">
        <v>-140</v>
      </c>
      <c r="N19" s="3">
        <v>-146</v>
      </c>
      <c r="O19" s="3">
        <v>-153</v>
      </c>
      <c r="P19" s="3">
        <v>-163</v>
      </c>
      <c r="Q19" s="3">
        <f>+P19*1.06</f>
        <v>-172.78</v>
      </c>
      <c r="R19" s="3">
        <f t="shared" ref="R19:S19" si="14">+Q19*1.06</f>
        <v>-183.14680000000001</v>
      </c>
      <c r="S19" s="3">
        <f t="shared" si="14"/>
        <v>-194.13560800000002</v>
      </c>
      <c r="U19" s="3">
        <v>-340</v>
      </c>
      <c r="V19" s="3">
        <v>-394</v>
      </c>
      <c r="W19" s="3">
        <v>-445</v>
      </c>
      <c r="X19" s="3">
        <v>-420</v>
      </c>
      <c r="Y19" s="3">
        <v>-403</v>
      </c>
      <c r="Z19" s="3">
        <v>-565</v>
      </c>
      <c r="AA19" s="3">
        <f>+SUM(P19:S19)</f>
        <v>-713.062408</v>
      </c>
      <c r="AB19" s="3">
        <f>+AA19*0.7</f>
        <v>-499.14368559999997</v>
      </c>
      <c r="AC19" s="3">
        <f>+AB19*0.2</f>
        <v>-99.82873712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3:137" x14ac:dyDescent="0.2">
      <c r="C20" t="s">
        <v>38</v>
      </c>
      <c r="D20" s="3">
        <v>7</v>
      </c>
      <c r="E20" s="3">
        <v>7</v>
      </c>
      <c r="F20" s="3">
        <v>8</v>
      </c>
      <c r="G20" s="3">
        <v>6</v>
      </c>
      <c r="H20" s="3">
        <v>5</v>
      </c>
      <c r="I20" s="3">
        <v>6</v>
      </c>
      <c r="J20" s="3">
        <v>7</v>
      </c>
      <c r="K20" s="3">
        <v>8</v>
      </c>
      <c r="L20" s="3">
        <v>15</v>
      </c>
      <c r="M20" s="3">
        <v>-1</v>
      </c>
      <c r="N20" s="3">
        <v>7</v>
      </c>
      <c r="O20" s="3">
        <v>9</v>
      </c>
      <c r="P20" s="3">
        <v>10</v>
      </c>
      <c r="Q20" s="3">
        <v>8</v>
      </c>
      <c r="R20" s="3">
        <v>8</v>
      </c>
      <c r="S20" s="3">
        <v>8</v>
      </c>
      <c r="U20" s="3">
        <v>22</v>
      </c>
      <c r="V20" s="3">
        <v>26</v>
      </c>
      <c r="W20" s="3">
        <v>27</v>
      </c>
      <c r="X20" s="3">
        <v>28</v>
      </c>
      <c r="Y20" s="3">
        <v>26</v>
      </c>
      <c r="Z20" s="3">
        <v>30</v>
      </c>
      <c r="AA20" s="3">
        <f>+SUM(P20:S20)</f>
        <v>34</v>
      </c>
      <c r="AB20" s="3">
        <v>32</v>
      </c>
      <c r="AC20" s="3">
        <v>32</v>
      </c>
      <c r="AD20" s="3">
        <v>32</v>
      </c>
      <c r="AE20" s="3">
        <f>+AD37*0.01+AD20</f>
        <v>33.289745126359023</v>
      </c>
      <c r="AF20" s="3">
        <f t="shared" ref="AF20:AJ20" si="15">+AE37*0.01+AE20</f>
        <v>76.52212791999807</v>
      </c>
      <c r="AG20" s="3">
        <f t="shared" si="15"/>
        <v>166.34783341538201</v>
      </c>
      <c r="AH20" s="3">
        <f t="shared" si="15"/>
        <v>308.08327433203965</v>
      </c>
      <c r="AI20" s="3">
        <f t="shared" si="15"/>
        <v>507.73864802857264</v>
      </c>
      <c r="AJ20" s="3">
        <f>+AI37*0.01+AI20</f>
        <v>772.03946788122562</v>
      </c>
    </row>
    <row r="21" spans="3:137" x14ac:dyDescent="0.2">
      <c r="C21" t="s">
        <v>39</v>
      </c>
      <c r="D21" s="3">
        <f>+SUM(D18:D20)+D17</f>
        <v>38</v>
      </c>
      <c r="E21" s="3">
        <f>+SUM(E18:E20)+E17</f>
        <v>442</v>
      </c>
      <c r="F21" s="3">
        <f>+SUM(F18:F20)+F17</f>
        <v>514</v>
      </c>
      <c r="G21" s="3">
        <f>+SUM(G18:G20)+G17</f>
        <v>602</v>
      </c>
      <c r="H21" s="3">
        <f>+SUM(H18:H20)+H17</f>
        <v>531</v>
      </c>
      <c r="I21" s="3">
        <f>+SUM(I18:I20)+I17</f>
        <v>912</v>
      </c>
      <c r="J21" s="3">
        <f>+SUM(J18:J20)+J17</f>
        <v>920</v>
      </c>
      <c r="K21" s="3">
        <f>+SUM(K18:K20)+K17</f>
        <v>938</v>
      </c>
      <c r="L21" s="3">
        <f>+SUM(L18:L20)+L17</f>
        <v>888</v>
      </c>
      <c r="M21" s="3">
        <f>+SUM(M18:M20)+M17</f>
        <v>1043</v>
      </c>
      <c r="N21" s="3">
        <f>+SUM(N18:N20)+N17</f>
        <v>1047</v>
      </c>
      <c r="O21" s="3">
        <f>+SUM(O18:O20)+O17</f>
        <v>640</v>
      </c>
      <c r="P21" s="3">
        <f>+SUM(P18:P20)+P17</f>
        <v>780</v>
      </c>
      <c r="Q21" s="3">
        <f t="shared" ref="Q21:S21" si="16">+SUM(Q18:Q20)+Q17</f>
        <v>873.39000000000101</v>
      </c>
      <c r="R21" s="3">
        <f t="shared" si="16"/>
        <v>844.27320000000009</v>
      </c>
      <c r="S21" s="3">
        <f t="shared" si="16"/>
        <v>384.58439200000112</v>
      </c>
      <c r="U21" s="3">
        <f>+SUM(U18:U20)+U17</f>
        <v>2623</v>
      </c>
      <c r="V21" s="3">
        <f>+SUM(V18:V20)+V17</f>
        <v>2065</v>
      </c>
      <c r="W21" s="3">
        <f>+SUM(W18:W20)+W17</f>
        <v>363</v>
      </c>
      <c r="X21" s="3">
        <f>+SUM(X18:X20)+X17</f>
        <v>1596</v>
      </c>
      <c r="Y21" s="3">
        <f>+SUM(Y18:Y20)+Y17</f>
        <v>3301</v>
      </c>
      <c r="Z21" s="3">
        <f>+SUM(Z18:Z20)+Z17</f>
        <v>3618</v>
      </c>
      <c r="AA21" s="3">
        <f>+SUM(AA18:AA20)+AA17</f>
        <v>2882.2475920000015</v>
      </c>
      <c r="AB21" s="3">
        <f>+SUM(AB18:AB20)+AB17</f>
        <v>3504.3050144000008</v>
      </c>
      <c r="AC21" s="3">
        <f t="shared" ref="AC21:AJ21" si="17">+SUM(AC18:AC20)+AC17</f>
        <v>4345.1466378800014</v>
      </c>
      <c r="AD21" s="3">
        <f t="shared" si="17"/>
        <v>4925.4105123900008</v>
      </c>
      <c r="AE21" s="3">
        <f t="shared" si="17"/>
        <v>5447.095800945458</v>
      </c>
      <c r="AF21" s="3">
        <f t="shared" si="17"/>
        <v>6051.0808703564835</v>
      </c>
      <c r="AG21" s="3">
        <f t="shared" si="17"/>
        <v>6741.5240806848942</v>
      </c>
      <c r="AH21" s="3">
        <f t="shared" si="17"/>
        <v>7522.069192191605</v>
      </c>
      <c r="AI21" s="3">
        <f t="shared" si="17"/>
        <v>8395.5124878078004</v>
      </c>
      <c r="AJ21" s="3">
        <f t="shared" si="17"/>
        <v>9363.3790101328159</v>
      </c>
    </row>
    <row r="22" spans="3:137" x14ac:dyDescent="0.2">
      <c r="C22" t="s">
        <v>40</v>
      </c>
      <c r="D22" s="3">
        <v>-16</v>
      </c>
      <c r="E22" s="3">
        <v>-41</v>
      </c>
      <c r="F22" s="3">
        <v>58</v>
      </c>
      <c r="G22" s="3">
        <v>80</v>
      </c>
      <c r="H22" s="3">
        <v>99</v>
      </c>
      <c r="I22" s="3">
        <v>200</v>
      </c>
      <c r="J22" s="3">
        <v>239</v>
      </c>
      <c r="K22" s="3">
        <v>218</v>
      </c>
      <c r="L22" s="3">
        <v>87</v>
      </c>
      <c r="M22" s="3">
        <v>238</v>
      </c>
      <c r="N22" s="3">
        <v>237</v>
      </c>
      <c r="O22" s="3">
        <v>-267</v>
      </c>
      <c r="P22" s="3">
        <v>163</v>
      </c>
      <c r="Q22" s="3">
        <f>+Q21*0.23</f>
        <v>200.87970000000024</v>
      </c>
      <c r="R22" s="3">
        <f t="shared" ref="R22:S22" si="18">+R21*0.23</f>
        <v>194.18283600000004</v>
      </c>
      <c r="S22" s="3">
        <f t="shared" si="18"/>
        <v>88.454410160000265</v>
      </c>
      <c r="U22" s="3">
        <v>438</v>
      </c>
      <c r="V22" s="3">
        <v>326</v>
      </c>
      <c r="W22" s="3">
        <v>-199</v>
      </c>
      <c r="X22" s="3">
        <v>81</v>
      </c>
      <c r="Y22" s="3">
        <v>756</v>
      </c>
      <c r="Z22" s="3">
        <v>295</v>
      </c>
      <c r="AA22" s="3">
        <f>+AA21*0.23</f>
        <v>662.91694616000041</v>
      </c>
      <c r="AB22" s="3">
        <f>+AB21*0.23</f>
        <v>805.99015331200019</v>
      </c>
      <c r="AC22" s="3">
        <f t="shared" ref="AC22:AJ22" si="19">+AC21*0.23</f>
        <v>999.3837267124004</v>
      </c>
      <c r="AD22" s="3">
        <f t="shared" si="19"/>
        <v>1132.8444178497002</v>
      </c>
      <c r="AE22" s="3">
        <f t="shared" si="19"/>
        <v>1252.8320342174554</v>
      </c>
      <c r="AF22" s="3">
        <f t="shared" si="19"/>
        <v>1391.7486001819914</v>
      </c>
      <c r="AG22" s="3">
        <f t="shared" si="19"/>
        <v>1550.5505385575257</v>
      </c>
      <c r="AH22" s="3">
        <f t="shared" si="19"/>
        <v>1730.0759142040692</v>
      </c>
      <c r="AI22" s="3">
        <f t="shared" si="19"/>
        <v>1930.9678721957941</v>
      </c>
      <c r="AJ22" s="3">
        <f t="shared" si="19"/>
        <v>2153.5771723305479</v>
      </c>
    </row>
    <row r="23" spans="3:137" s="9" customFormat="1" x14ac:dyDescent="0.2">
      <c r="C23" s="5" t="s">
        <v>41</v>
      </c>
      <c r="D23" s="9">
        <f>+D21-D22</f>
        <v>54</v>
      </c>
      <c r="E23" s="9">
        <f>+E21-E22</f>
        <v>483</v>
      </c>
      <c r="F23" s="9">
        <f>+F21-F22</f>
        <v>456</v>
      </c>
      <c r="G23" s="9">
        <f>+G21-G22</f>
        <v>522</v>
      </c>
      <c r="H23" s="9">
        <f>+H21-H22</f>
        <v>432</v>
      </c>
      <c r="I23" s="9">
        <f>+I21-I22</f>
        <v>712</v>
      </c>
      <c r="J23" s="9">
        <f>+J21-J22</f>
        <v>681</v>
      </c>
      <c r="K23" s="9">
        <f>+K21-K22</f>
        <v>720</v>
      </c>
      <c r="L23" s="9">
        <f>+L21-L22</f>
        <v>801</v>
      </c>
      <c r="M23" s="9">
        <f>+M21-M22</f>
        <v>805</v>
      </c>
      <c r="N23" s="9">
        <f>+N21-N22</f>
        <v>810</v>
      </c>
      <c r="O23" s="9">
        <f>+O21-O22</f>
        <v>907</v>
      </c>
      <c r="P23" s="9">
        <f>+P21-P22</f>
        <v>617</v>
      </c>
      <c r="Q23" s="9">
        <f t="shared" ref="Q23:S23" si="20">+Q21-Q22</f>
        <v>672.51030000000083</v>
      </c>
      <c r="R23" s="9">
        <f t="shared" si="20"/>
        <v>650.09036400000002</v>
      </c>
      <c r="S23" s="9">
        <f t="shared" si="20"/>
        <v>296.12998184000082</v>
      </c>
      <c r="U23" s="9">
        <f>+U21-U22</f>
        <v>2185</v>
      </c>
      <c r="V23" s="9">
        <f>+V21-V22</f>
        <v>1739</v>
      </c>
      <c r="W23" s="9">
        <f>+W21-W22</f>
        <v>562</v>
      </c>
      <c r="X23" s="9">
        <f>+X21-X22</f>
        <v>1515</v>
      </c>
      <c r="Y23" s="9">
        <f>+Y21-Y22</f>
        <v>2545</v>
      </c>
      <c r="Z23" s="9">
        <f>+Z21-Z22</f>
        <v>3323</v>
      </c>
      <c r="AA23" s="9">
        <f>+AA21-AA22</f>
        <v>2219.3306458400011</v>
      </c>
      <c r="AB23" s="9">
        <f>+AB21-AB22</f>
        <v>2698.3148610880007</v>
      </c>
      <c r="AC23" s="9">
        <f t="shared" ref="AC23:AJ23" si="21">+AC21-AC22</f>
        <v>3345.762911167601</v>
      </c>
      <c r="AD23" s="9">
        <f t="shared" si="21"/>
        <v>3792.5660945403006</v>
      </c>
      <c r="AE23" s="9">
        <f t="shared" si="21"/>
        <v>4194.2637667280023</v>
      </c>
      <c r="AF23" s="9">
        <f t="shared" si="21"/>
        <v>4659.3322701744919</v>
      </c>
      <c r="AG23" s="9">
        <f t="shared" si="21"/>
        <v>5190.973542127369</v>
      </c>
      <c r="AH23" s="9">
        <f t="shared" si="21"/>
        <v>5791.9932779875362</v>
      </c>
      <c r="AI23" s="9">
        <f t="shared" si="21"/>
        <v>6464.5446156120061</v>
      </c>
      <c r="AJ23" s="9">
        <f t="shared" si="21"/>
        <v>7209.801837802268</v>
      </c>
      <c r="AK23" s="9">
        <f>+AJ23*(1+$AM$26)</f>
        <v>7137.703819424245</v>
      </c>
      <c r="AL23" s="9">
        <f t="shared" ref="AL23:CW23" si="22">+AK23*(1+$AM$26)</f>
        <v>7066.3267812300028</v>
      </c>
      <c r="AM23" s="9">
        <f t="shared" si="22"/>
        <v>6995.6635134177031</v>
      </c>
      <c r="AN23" s="9">
        <f t="shared" si="22"/>
        <v>6925.7068782835258</v>
      </c>
      <c r="AO23" s="9">
        <f t="shared" si="22"/>
        <v>6856.4498095006902</v>
      </c>
      <c r="AP23" s="9">
        <f t="shared" si="22"/>
        <v>6787.8853114056828</v>
      </c>
      <c r="AQ23" s="9">
        <f t="shared" si="22"/>
        <v>6720.0064582916257</v>
      </c>
      <c r="AR23" s="9">
        <f t="shared" si="22"/>
        <v>6652.806393708709</v>
      </c>
      <c r="AS23" s="9">
        <f t="shared" si="22"/>
        <v>6586.2783297716223</v>
      </c>
      <c r="AT23" s="9">
        <f t="shared" si="22"/>
        <v>6520.415546473906</v>
      </c>
      <c r="AU23" s="9">
        <f t="shared" si="22"/>
        <v>6455.2113910091666</v>
      </c>
      <c r="AV23" s="9">
        <f t="shared" si="22"/>
        <v>6390.6592770990746</v>
      </c>
      <c r="AW23" s="9">
        <f t="shared" si="22"/>
        <v>6326.7526843280839</v>
      </c>
      <c r="AX23" s="9">
        <f t="shared" si="22"/>
        <v>6263.4851574848026</v>
      </c>
      <c r="AY23" s="9">
        <f t="shared" si="22"/>
        <v>6200.8503059099548</v>
      </c>
      <c r="AZ23" s="9">
        <f t="shared" si="22"/>
        <v>6138.8418028508549</v>
      </c>
      <c r="BA23" s="9">
        <f t="shared" si="22"/>
        <v>6077.4533848223464</v>
      </c>
      <c r="BB23" s="9">
        <f t="shared" si="22"/>
        <v>6016.6788509741227</v>
      </c>
      <c r="BC23" s="9">
        <f t="shared" si="22"/>
        <v>5956.5120624643814</v>
      </c>
      <c r="BD23" s="9">
        <f t="shared" si="22"/>
        <v>5896.9469418397375</v>
      </c>
      <c r="BE23" s="9">
        <f t="shared" si="22"/>
        <v>5837.9774724213403</v>
      </c>
      <c r="BF23" s="9">
        <f t="shared" si="22"/>
        <v>5779.5976976971269</v>
      </c>
      <c r="BG23" s="9">
        <f t="shared" si="22"/>
        <v>5721.8017207201556</v>
      </c>
      <c r="BH23" s="9">
        <f t="shared" si="22"/>
        <v>5664.5837035129543</v>
      </c>
      <c r="BI23" s="9">
        <f t="shared" si="22"/>
        <v>5607.9378664778251</v>
      </c>
      <c r="BJ23" s="9">
        <f t="shared" si="22"/>
        <v>5551.8584878130468</v>
      </c>
      <c r="BK23" s="9">
        <f t="shared" si="22"/>
        <v>5496.3399029349166</v>
      </c>
      <c r="BL23" s="9">
        <f t="shared" si="22"/>
        <v>5441.376503905567</v>
      </c>
      <c r="BM23" s="9">
        <f t="shared" si="22"/>
        <v>5386.9627388665112</v>
      </c>
      <c r="BN23" s="9">
        <f t="shared" si="22"/>
        <v>5333.0931114778459</v>
      </c>
      <c r="BO23" s="9">
        <f t="shared" si="22"/>
        <v>5279.7621803630673</v>
      </c>
      <c r="BP23" s="9">
        <f t="shared" si="22"/>
        <v>5226.9645585594362</v>
      </c>
      <c r="BQ23" s="9">
        <f t="shared" si="22"/>
        <v>5174.6949129738414</v>
      </c>
      <c r="BR23" s="9">
        <f t="shared" si="22"/>
        <v>5122.9479638441026</v>
      </c>
      <c r="BS23" s="9">
        <f t="shared" si="22"/>
        <v>5071.7184842056613</v>
      </c>
      <c r="BT23" s="9">
        <f t="shared" si="22"/>
        <v>5021.0012993636046</v>
      </c>
      <c r="BU23" s="9">
        <f t="shared" si="22"/>
        <v>4970.7912863699685</v>
      </c>
      <c r="BV23" s="9">
        <f t="shared" si="22"/>
        <v>4921.0833735062688</v>
      </c>
      <c r="BW23" s="9">
        <f t="shared" si="22"/>
        <v>4871.872539771206</v>
      </c>
      <c r="BX23" s="9">
        <f t="shared" si="22"/>
        <v>4823.1538143734942</v>
      </c>
      <c r="BY23" s="9">
        <f t="shared" si="22"/>
        <v>4774.9222762297595</v>
      </c>
      <c r="BZ23" s="9">
        <f t="shared" si="22"/>
        <v>4727.1730534674616</v>
      </c>
      <c r="CA23" s="9">
        <f t="shared" si="22"/>
        <v>4679.9013229327866</v>
      </c>
      <c r="CB23" s="9">
        <f t="shared" si="22"/>
        <v>4633.1023097034586</v>
      </c>
      <c r="CC23" s="9">
        <f t="shared" si="22"/>
        <v>4586.7712866064239</v>
      </c>
      <c r="CD23" s="9">
        <f t="shared" si="22"/>
        <v>4540.9035737403592</v>
      </c>
      <c r="CE23" s="9">
        <f t="shared" si="22"/>
        <v>4495.4945380029558</v>
      </c>
      <c r="CF23" s="9">
        <f t="shared" si="22"/>
        <v>4450.5395926229257</v>
      </c>
      <c r="CG23" s="9">
        <f t="shared" si="22"/>
        <v>4406.0341966966962</v>
      </c>
      <c r="CH23" s="9">
        <f t="shared" si="22"/>
        <v>4361.9738547297293</v>
      </c>
      <c r="CI23" s="9">
        <f t="shared" si="22"/>
        <v>4318.3541161824323</v>
      </c>
      <c r="CJ23" s="9">
        <f t="shared" si="22"/>
        <v>4275.1705750206083</v>
      </c>
      <c r="CK23" s="9">
        <f t="shared" si="22"/>
        <v>4232.418869270402</v>
      </c>
      <c r="CL23" s="9">
        <f t="shared" si="22"/>
        <v>4190.0946805776975</v>
      </c>
      <c r="CM23" s="9">
        <f t="shared" si="22"/>
        <v>4148.193733771921</v>
      </c>
      <c r="CN23" s="9">
        <f t="shared" si="22"/>
        <v>4106.7117964342015</v>
      </c>
      <c r="CO23" s="9">
        <f t="shared" si="22"/>
        <v>4065.6446784698596</v>
      </c>
      <c r="CP23" s="9">
        <f t="shared" si="22"/>
        <v>4024.9882316851608</v>
      </c>
      <c r="CQ23" s="9">
        <f t="shared" si="22"/>
        <v>3984.7383493683092</v>
      </c>
      <c r="CR23" s="9">
        <f t="shared" si="22"/>
        <v>3944.8909658746261</v>
      </c>
      <c r="CS23" s="9">
        <f t="shared" si="22"/>
        <v>3905.4420562158798</v>
      </c>
      <c r="CT23" s="9">
        <f t="shared" si="22"/>
        <v>3866.3876356537212</v>
      </c>
      <c r="CU23" s="9">
        <f t="shared" si="22"/>
        <v>3827.7237592971837</v>
      </c>
      <c r="CV23" s="9">
        <f t="shared" si="22"/>
        <v>3789.446521704212</v>
      </c>
      <c r="CW23" s="9">
        <f t="shared" si="22"/>
        <v>3751.5520564871699</v>
      </c>
      <c r="CX23" s="9">
        <f t="shared" ref="CX23:EG23" si="23">+CW23*(1+$AM$26)</f>
        <v>3714.0365359222983</v>
      </c>
      <c r="CY23" s="9">
        <f t="shared" si="23"/>
        <v>3676.8961705630754</v>
      </c>
      <c r="CZ23" s="9">
        <f t="shared" si="23"/>
        <v>3640.1272088574447</v>
      </c>
      <c r="DA23" s="9">
        <f t="shared" si="23"/>
        <v>3603.7259367688703</v>
      </c>
      <c r="DB23" s="9">
        <f t="shared" si="23"/>
        <v>3567.6886774011814</v>
      </c>
      <c r="DC23" s="9">
        <f t="shared" si="23"/>
        <v>3532.0117906271694</v>
      </c>
      <c r="DD23" s="9">
        <f t="shared" si="23"/>
        <v>3496.6916727208977</v>
      </c>
      <c r="DE23" s="9">
        <f t="shared" si="23"/>
        <v>3461.7247559936886</v>
      </c>
      <c r="DF23" s="9">
        <f t="shared" si="23"/>
        <v>3427.1075084337517</v>
      </c>
      <c r="DG23" s="9">
        <f t="shared" si="23"/>
        <v>3392.8364333494142</v>
      </c>
      <c r="DH23" s="9">
        <f t="shared" si="23"/>
        <v>3358.9080690159199</v>
      </c>
      <c r="DI23" s="9">
        <f t="shared" si="23"/>
        <v>3325.3189883257605</v>
      </c>
      <c r="DJ23" s="9">
        <f t="shared" si="23"/>
        <v>3292.0657984425029</v>
      </c>
      <c r="DK23" s="9">
        <f t="shared" si="23"/>
        <v>3259.145140458078</v>
      </c>
      <c r="DL23" s="9">
        <f t="shared" si="23"/>
        <v>3226.5536890534972</v>
      </c>
      <c r="DM23" s="9">
        <f t="shared" si="23"/>
        <v>3194.2881521629624</v>
      </c>
      <c r="DN23" s="9">
        <f t="shared" si="23"/>
        <v>3162.3452706413327</v>
      </c>
      <c r="DO23" s="9">
        <f t="shared" si="23"/>
        <v>3130.7218179349193</v>
      </c>
      <c r="DP23" s="9">
        <f t="shared" si="23"/>
        <v>3099.4145997555702</v>
      </c>
      <c r="DQ23" s="9">
        <f t="shared" si="23"/>
        <v>3068.4204537580144</v>
      </c>
      <c r="DR23" s="9">
        <f t="shared" si="23"/>
        <v>3037.7362492204343</v>
      </c>
      <c r="DS23" s="9">
        <f t="shared" si="23"/>
        <v>3007.3588867282301</v>
      </c>
      <c r="DT23" s="9">
        <f t="shared" si="23"/>
        <v>2977.2852978609476</v>
      </c>
      <c r="DU23" s="9">
        <f t="shared" si="23"/>
        <v>2947.5124448823381</v>
      </c>
      <c r="DV23" s="9">
        <f t="shared" si="23"/>
        <v>2918.0373204335147</v>
      </c>
      <c r="DW23" s="9">
        <f t="shared" si="23"/>
        <v>2888.8569472291797</v>
      </c>
      <c r="DX23" s="9">
        <f t="shared" si="23"/>
        <v>2859.968377756888</v>
      </c>
      <c r="DY23" s="9">
        <f t="shared" si="23"/>
        <v>2831.3686939793192</v>
      </c>
      <c r="DZ23" s="9">
        <f t="shared" si="23"/>
        <v>2803.0550070395261</v>
      </c>
      <c r="EA23" s="9">
        <f t="shared" si="23"/>
        <v>2775.0244569691308</v>
      </c>
      <c r="EB23" s="9">
        <f t="shared" si="23"/>
        <v>2747.2742123994394</v>
      </c>
      <c r="EC23" s="9">
        <f t="shared" si="23"/>
        <v>2719.8014702754449</v>
      </c>
      <c r="ED23" s="9">
        <f t="shared" si="23"/>
        <v>2692.6034555726906</v>
      </c>
      <c r="EE23" s="9">
        <f t="shared" si="23"/>
        <v>2665.6774210169638</v>
      </c>
      <c r="EF23" s="9">
        <f t="shared" si="23"/>
        <v>2639.020646806794</v>
      </c>
      <c r="EG23" s="9">
        <f t="shared" si="23"/>
        <v>2612.6304403387262</v>
      </c>
    </row>
    <row r="24" spans="3:137" x14ac:dyDescent="0.2">
      <c r="C24" t="s">
        <v>42</v>
      </c>
      <c r="D24" s="10">
        <f>+D23/D25</f>
        <v>0.16528925619834711</v>
      </c>
      <c r="E24" s="10">
        <f>+E23/E25</f>
        <v>1.4676390154968093</v>
      </c>
      <c r="F24" s="10">
        <f>+F23/F25</f>
        <v>1.3847555420589128</v>
      </c>
      <c r="G24" s="10">
        <f>+G23/G25</f>
        <v>1.5827774408732564</v>
      </c>
      <c r="H24" s="10">
        <f>+H23/H25</f>
        <v>1.3198900091659027</v>
      </c>
      <c r="I24" s="10">
        <f>+I23/I25</f>
        <v>2.1880762138905965</v>
      </c>
      <c r="J24" s="10">
        <f>+J23/J25</f>
        <v>2.1327904791731913</v>
      </c>
      <c r="K24" s="10">
        <f>+K23/K25</f>
        <v>2.264863164517144</v>
      </c>
      <c r="L24" s="10">
        <f>+L23/L25</f>
        <v>2.6288152280932064</v>
      </c>
      <c r="M24" s="10">
        <f>+M23/M25</f>
        <v>2.6869158878504669</v>
      </c>
      <c r="N24" s="10">
        <f>+N23/N25</f>
        <v>2.7439024390243905</v>
      </c>
      <c r="O24" s="10">
        <f>+O23/O25</f>
        <v>3.0683355886332881</v>
      </c>
      <c r="P24" s="10">
        <f>+P23/P25</f>
        <v>2.1498257839721253</v>
      </c>
      <c r="Q24" s="10">
        <f t="shared" ref="Q24:S24" si="24">+Q23/Q25</f>
        <v>2.366910569105694</v>
      </c>
      <c r="R24" s="10">
        <f t="shared" si="24"/>
        <v>2.3111143959924449</v>
      </c>
      <c r="S24" s="10">
        <f t="shared" si="24"/>
        <v>1.0633956990727982</v>
      </c>
      <c r="U24" s="10">
        <f>+U23/U25</f>
        <v>6.4435269831907984</v>
      </c>
      <c r="V24" s="10">
        <f>+V23/V25</f>
        <v>5.367283950617284</v>
      </c>
      <c r="W24" s="10">
        <f>+W23/W25</f>
        <v>1.7324290998766956</v>
      </c>
      <c r="X24" s="10">
        <f>+X23/X25</f>
        <v>4.6429665951578301</v>
      </c>
      <c r="Y24" s="10">
        <f>+Y23/Y25</f>
        <v>8.1938184159690923</v>
      </c>
      <c r="Z24" s="10">
        <f>+Z23/Z25</f>
        <v>11.438898450946644</v>
      </c>
      <c r="AA24" s="10">
        <f>+AA23/AA25</f>
        <v>7.9580129297188797</v>
      </c>
      <c r="AB24" s="10">
        <f>+AB23/AB25</f>
        <v>10.078688493139229</v>
      </c>
      <c r="AC24" s="10">
        <f t="shared" ref="AC24:AJ24" si="25">+AC23/AC25</f>
        <v>13.017732011128288</v>
      </c>
      <c r="AD24" s="10">
        <f t="shared" si="25"/>
        <v>15.370998821258551</v>
      </c>
      <c r="AE24" s="10">
        <f t="shared" si="25"/>
        <v>17.707344503949802</v>
      </c>
      <c r="AF24" s="10">
        <f t="shared" si="25"/>
        <v>20.490386358357082</v>
      </c>
      <c r="AG24" s="10">
        <f t="shared" si="25"/>
        <v>23.779572749231754</v>
      </c>
      <c r="AH24" s="10">
        <f t="shared" si="25"/>
        <v>27.638345918964021</v>
      </c>
      <c r="AI24" s="10">
        <f t="shared" si="25"/>
        <v>32.132957752985028</v>
      </c>
      <c r="AJ24" s="10">
        <f t="shared" si="25"/>
        <v>37.330590622410995</v>
      </c>
    </row>
    <row r="25" spans="3:137" x14ac:dyDescent="0.2">
      <c r="C25" t="s">
        <v>4</v>
      </c>
      <c r="D25" s="3">
        <v>326.7</v>
      </c>
      <c r="E25" s="3">
        <v>329.1</v>
      </c>
      <c r="F25" s="3">
        <v>329.3</v>
      </c>
      <c r="G25" s="3">
        <v>329.8</v>
      </c>
      <c r="H25" s="3">
        <v>327.3</v>
      </c>
      <c r="I25" s="3">
        <v>325.39999999999998</v>
      </c>
      <c r="J25" s="3">
        <v>319.3</v>
      </c>
      <c r="K25" s="3">
        <v>317.89999999999998</v>
      </c>
      <c r="L25" s="3">
        <v>304.7</v>
      </c>
      <c r="M25" s="3">
        <v>299.60000000000002</v>
      </c>
      <c r="N25" s="3">
        <v>295.2</v>
      </c>
      <c r="O25" s="3">
        <v>295.60000000000002</v>
      </c>
      <c r="P25" s="3">
        <v>287</v>
      </c>
      <c r="Q25" s="3">
        <f>+P25*0.99</f>
        <v>284.13</v>
      </c>
      <c r="R25" s="3">
        <f t="shared" ref="R25:S25" si="26">+Q25*0.99</f>
        <v>281.28870000000001</v>
      </c>
      <c r="S25" s="3">
        <f t="shared" si="26"/>
        <v>278.47581300000002</v>
      </c>
      <c r="U25" s="3">
        <v>339.1</v>
      </c>
      <c r="V25" s="3">
        <v>324</v>
      </c>
      <c r="W25" s="3">
        <v>324.39999999999998</v>
      </c>
      <c r="X25" s="3">
        <v>326.3</v>
      </c>
      <c r="Y25" s="3">
        <v>310.60000000000002</v>
      </c>
      <c r="Z25" s="3">
        <v>290.5</v>
      </c>
      <c r="AA25" s="3">
        <f>+Z25*0.96</f>
        <v>278.88</v>
      </c>
      <c r="AB25" s="3">
        <f>+AA25*0.96</f>
        <v>267.72479999999996</v>
      </c>
      <c r="AC25" s="3">
        <f t="shared" ref="AC25:AJ25" si="27">+AB25*0.96</f>
        <v>257.01580799999994</v>
      </c>
      <c r="AD25" s="3">
        <f t="shared" si="27"/>
        <v>246.73517567999994</v>
      </c>
      <c r="AE25" s="3">
        <f t="shared" si="27"/>
        <v>236.86576865279994</v>
      </c>
      <c r="AF25" s="3">
        <f t="shared" si="27"/>
        <v>227.39113790668793</v>
      </c>
      <c r="AG25" s="3">
        <f t="shared" si="27"/>
        <v>218.29549239042041</v>
      </c>
      <c r="AH25" s="3">
        <f t="shared" si="27"/>
        <v>209.56367269480359</v>
      </c>
      <c r="AI25" s="3">
        <f t="shared" si="27"/>
        <v>201.18112578701144</v>
      </c>
      <c r="AJ25" s="3">
        <f t="shared" si="27"/>
        <v>193.13388075553098</v>
      </c>
    </row>
    <row r="26" spans="3:137" x14ac:dyDescent="0.2">
      <c r="R26" s="8"/>
      <c r="AL26" s="3" t="s">
        <v>95</v>
      </c>
      <c r="AM26" s="8">
        <v>-0.01</v>
      </c>
    </row>
    <row r="27" spans="3:137" s="8" customFormat="1" x14ac:dyDescent="0.2">
      <c r="C27" s="8" t="s">
        <v>43</v>
      </c>
      <c r="D27" s="8">
        <f>+D17/D12</f>
        <v>5.9153713298791016E-2</v>
      </c>
      <c r="E27" s="8">
        <f>+E17/E12</f>
        <v>0.17116544934899969</v>
      </c>
      <c r="F27" s="8">
        <f>+F17/F12</f>
        <v>0.15534718702483527</v>
      </c>
      <c r="G27" s="8">
        <f>+G17/G12</f>
        <v>0.15497076023391812</v>
      </c>
      <c r="H27" s="8">
        <f>+H17/H12</f>
        <v>0.14646344367706596</v>
      </c>
      <c r="I27" s="8">
        <f>+I17/I12</f>
        <v>0.18714874484825778</v>
      </c>
      <c r="J27" s="8">
        <f>+J17/J12</f>
        <v>0.19009975531714662</v>
      </c>
      <c r="K27" s="8">
        <f>+K17/K12</f>
        <v>0.17609319601553267</v>
      </c>
      <c r="L27" s="8">
        <f>+L17/L12</f>
        <v>0.17738201246660731</v>
      </c>
      <c r="M27" s="8">
        <f>+M17/M12</f>
        <v>0.19456790123456791</v>
      </c>
      <c r="N27" s="8">
        <f>+N17/N12</f>
        <v>0.19534412955465588</v>
      </c>
      <c r="O27" s="8">
        <f>+O17/O12</f>
        <v>0.12748154224774405</v>
      </c>
      <c r="P27" s="8">
        <f>+P17/P12</f>
        <v>0.15542914505604818</v>
      </c>
      <c r="Q27" s="8">
        <f t="shared" ref="Q27:S27" si="28">+Q17/Q12</f>
        <v>0.15386008230452689</v>
      </c>
      <c r="R27" s="8">
        <f t="shared" si="28"/>
        <v>0.15480002453686664</v>
      </c>
      <c r="S27" s="8">
        <f t="shared" si="28"/>
        <v>8.3633380565292126E-2</v>
      </c>
      <c r="U27" s="8">
        <f>+U17/U12</f>
        <v>0.13233452163021486</v>
      </c>
      <c r="V27" s="8">
        <f>+V17/V12</f>
        <v>0.10866870112530994</v>
      </c>
      <c r="W27" s="8">
        <f>+W17/W12</f>
        <v>6.5935105477249081E-2</v>
      </c>
      <c r="X27" s="8">
        <f>+X17/X12</f>
        <v>0.14274373962618173</v>
      </c>
      <c r="Y27" s="8">
        <f>+Y17/Y12</f>
        <v>0.17652722283733693</v>
      </c>
      <c r="Z27" s="8">
        <f>+Z17/Z12</f>
        <v>0.17344916290642265</v>
      </c>
      <c r="AA27" s="8">
        <f>+AA17/AA12</f>
        <v>0.13626954815181117</v>
      </c>
      <c r="AB27" s="8">
        <f t="shared" ref="AB27:AJ27" si="29">+AB17/AB12</f>
        <v>0.1320717580772601</v>
      </c>
      <c r="AC27" s="8">
        <f t="shared" si="29"/>
        <v>0.12774283120020405</v>
      </c>
      <c r="AD27" s="8">
        <f t="shared" si="29"/>
        <v>0.12328456061288784</v>
      </c>
      <c r="AE27" s="8">
        <f t="shared" si="29"/>
        <v>0.11869865919775571</v>
      </c>
      <c r="AF27" s="8">
        <f t="shared" si="29"/>
        <v>0.1139867621538701</v>
      </c>
      <c r="AG27" s="8">
        <f t="shared" si="29"/>
        <v>0.10915042943504819</v>
      </c>
      <c r="AH27" s="8">
        <f t="shared" si="29"/>
        <v>0.10419114810275046</v>
      </c>
      <c r="AI27" s="8">
        <f t="shared" si="29"/>
        <v>9.9110334596650487E-2</v>
      </c>
      <c r="AJ27" s="8">
        <f t="shared" si="29"/>
        <v>9.3909336925713613E-2</v>
      </c>
      <c r="AL27" s="8" t="s">
        <v>96</v>
      </c>
      <c r="AM27" s="8">
        <v>0.08</v>
      </c>
    </row>
    <row r="28" spans="3:137" s="8" customFormat="1" ht="13.5" customHeight="1" x14ac:dyDescent="0.2">
      <c r="C28" s="8" t="s">
        <v>44</v>
      </c>
      <c r="D28" s="8">
        <f>+D23/D12</f>
        <v>2.3316062176165803E-2</v>
      </c>
      <c r="E28" s="8">
        <f>+E23/E12</f>
        <v>0.15338202604001269</v>
      </c>
      <c r="F28" s="8">
        <f>+F23/F12</f>
        <v>0.11556006082108464</v>
      </c>
      <c r="G28" s="8">
        <f>+G23/G12</f>
        <v>0.11740890688259109</v>
      </c>
      <c r="H28" s="8">
        <f>+H23/H12</f>
        <v>0.10288163848535366</v>
      </c>
      <c r="I28" s="8">
        <f>+I23/I12</f>
        <v>0.13338328962158111</v>
      </c>
      <c r="J28" s="8">
        <f>+J23/J12</f>
        <v>0.12817617165443251</v>
      </c>
      <c r="K28" s="8">
        <f>+K23/K12</f>
        <v>0.12156002026000337</v>
      </c>
      <c r="L28" s="8">
        <f>+L23/L12</f>
        <v>0.14265360641139804</v>
      </c>
      <c r="M28" s="8">
        <f>+M23/M12</f>
        <v>0.13251028806584361</v>
      </c>
      <c r="N28" s="8">
        <f>+N23/N12</f>
        <v>0.13663967611336034</v>
      </c>
      <c r="O28" s="8">
        <f>+O23/O12</f>
        <v>0.14881050041017227</v>
      </c>
      <c r="P28" s="8">
        <f>+P23/P12</f>
        <v>0.10322904467123975</v>
      </c>
      <c r="Q28" s="8">
        <f t="shared" ref="Q28:S28" si="30">+Q23/Q12</f>
        <v>0.10063753086419765</v>
      </c>
      <c r="R28" s="8">
        <f t="shared" si="30"/>
        <v>9.9694878542510121E-2</v>
      </c>
      <c r="S28" s="8">
        <f t="shared" si="30"/>
        <v>4.4168839114028011E-2</v>
      </c>
      <c r="U28" s="8">
        <f>+U23/U12</f>
        <v>0.10526062241063686</v>
      </c>
      <c r="V28" s="8">
        <f>+V23/V12</f>
        <v>8.292008392141903E-2</v>
      </c>
      <c r="W28" s="8">
        <f>+W23/W12</f>
        <v>5.3164317472329962E-2</v>
      </c>
      <c r="X28" s="8">
        <f>+X23/X12</f>
        <v>0.10933102403117557</v>
      </c>
      <c r="Y28" s="8">
        <f>+Y23/Y12</f>
        <v>0.12251480286910894</v>
      </c>
      <c r="Z28" s="8">
        <f>+Z23/Z12</f>
        <v>0.14013410365622234</v>
      </c>
      <c r="AA28" s="8">
        <f>+AA23/AA12</f>
        <v>8.5738759651996579E-2</v>
      </c>
      <c r="AB28" s="8">
        <f t="shared" ref="AB28:AJ28" si="31">+AB23/AB12</f>
        <v>9.0646276918198126E-2</v>
      </c>
      <c r="AC28" s="8">
        <f t="shared" si="31"/>
        <v>9.7736024136011956E-2</v>
      </c>
      <c r="AD28" s="8">
        <f t="shared" si="31"/>
        <v>9.63373782965848E-2</v>
      </c>
      <c r="AE28" s="8">
        <f t="shared" si="31"/>
        <v>9.26444833068054E-2</v>
      </c>
      <c r="AF28" s="8">
        <f t="shared" si="31"/>
        <v>8.9493123638402589E-2</v>
      </c>
      <c r="AG28" s="8">
        <f t="shared" si="31"/>
        <v>8.6699573182269979E-2</v>
      </c>
      <c r="AH28" s="8">
        <f t="shared" si="31"/>
        <v>8.4119823532771518E-2</v>
      </c>
      <c r="AI28" s="8">
        <f t="shared" si="31"/>
        <v>8.1641391934697424E-2</v>
      </c>
      <c r="AJ28" s="8">
        <f t="shared" si="31"/>
        <v>7.9176801085778056E-2</v>
      </c>
      <c r="AL28" s="8" t="s">
        <v>97</v>
      </c>
      <c r="AM28" s="3">
        <f>NPV(AM27,AA23:EG23)</f>
        <v>65063.439440517293</v>
      </c>
    </row>
    <row r="29" spans="3:137" s="8" customFormat="1" x14ac:dyDescent="0.2">
      <c r="C29" s="8" t="s">
        <v>45</v>
      </c>
      <c r="D29" s="8">
        <f>+D22/D21</f>
        <v>-0.42105263157894735</v>
      </c>
      <c r="E29" s="8">
        <f>+E22/E21</f>
        <v>-9.2760180995475117E-2</v>
      </c>
      <c r="F29" s="8">
        <f>+F22/F21</f>
        <v>0.11284046692607004</v>
      </c>
      <c r="G29" s="8">
        <f>+G22/G21</f>
        <v>0.13289036544850499</v>
      </c>
      <c r="H29" s="8">
        <f>+H22/H21</f>
        <v>0.1864406779661017</v>
      </c>
      <c r="I29" s="8">
        <f>+I22/I21</f>
        <v>0.21929824561403508</v>
      </c>
      <c r="J29" s="8">
        <f>+J22/J21</f>
        <v>0.25978260869565217</v>
      </c>
      <c r="K29" s="8">
        <f>+K22/K21</f>
        <v>0.23240938166311301</v>
      </c>
      <c r="L29" s="8">
        <f>+L22/L21</f>
        <v>9.7972972972972971E-2</v>
      </c>
      <c r="M29" s="8">
        <f>+M22/M21</f>
        <v>0.22818791946308725</v>
      </c>
      <c r="N29" s="8">
        <f>+N22/N21</f>
        <v>0.22636103151862463</v>
      </c>
      <c r="O29" s="8">
        <f>+O22/O21</f>
        <v>-0.41718749999999999</v>
      </c>
      <c r="P29" s="8">
        <f>+P22/P21</f>
        <v>0.20897435897435898</v>
      </c>
      <c r="Q29" s="8">
        <f t="shared" ref="Q29:S29" si="32">+Q22/Q21</f>
        <v>0.23</v>
      </c>
      <c r="R29" s="8">
        <f t="shared" si="32"/>
        <v>0.23</v>
      </c>
      <c r="S29" s="8">
        <f t="shared" si="32"/>
        <v>0.23</v>
      </c>
      <c r="U29" s="8">
        <f>+U22/U21</f>
        <v>0.16698436904308045</v>
      </c>
      <c r="V29" s="8">
        <f>+V22/V21</f>
        <v>0.15786924939467312</v>
      </c>
      <c r="W29" s="8">
        <f>+W22/W21</f>
        <v>-0.54820936639118456</v>
      </c>
      <c r="X29" s="8">
        <f>+X22/X21</f>
        <v>5.0751879699248117E-2</v>
      </c>
      <c r="Y29" s="8">
        <f>+Y22/Y21</f>
        <v>0.22902150863374734</v>
      </c>
      <c r="Z29" s="8">
        <f>+Z22/Z21</f>
        <v>8.1536760641238257E-2</v>
      </c>
      <c r="AA29" s="8">
        <f>+AA22/AA21</f>
        <v>0.23</v>
      </c>
      <c r="AB29" s="8">
        <f t="shared" ref="AB29:AJ29" si="33">+AB22/AB21</f>
        <v>0.23</v>
      </c>
      <c r="AC29" s="8">
        <f t="shared" si="33"/>
        <v>0.23</v>
      </c>
      <c r="AD29" s="8">
        <f t="shared" si="33"/>
        <v>0.23</v>
      </c>
      <c r="AE29" s="8">
        <f t="shared" si="33"/>
        <v>0.23</v>
      </c>
      <c r="AF29" s="8">
        <f t="shared" si="33"/>
        <v>0.23000000000000004</v>
      </c>
      <c r="AG29" s="8">
        <f t="shared" si="33"/>
        <v>0.23</v>
      </c>
      <c r="AH29" s="8">
        <f t="shared" si="33"/>
        <v>0.23</v>
      </c>
      <c r="AI29" s="8">
        <f t="shared" si="33"/>
        <v>0.23</v>
      </c>
      <c r="AJ29" s="8">
        <f t="shared" si="33"/>
        <v>0.23000000000000004</v>
      </c>
      <c r="AL29" s="8" t="s">
        <v>48</v>
      </c>
      <c r="AM29" s="3">
        <f>+Z37</f>
        <v>-11927</v>
      </c>
    </row>
    <row r="30" spans="3:137" s="8" customFormat="1" x14ac:dyDescent="0.2">
      <c r="AL30" s="8" t="s">
        <v>98</v>
      </c>
      <c r="AM30" s="3">
        <f>+AM28-AM29</f>
        <v>76990.439440517293</v>
      </c>
    </row>
    <row r="31" spans="3:137" s="8" customFormat="1" x14ac:dyDescent="0.2">
      <c r="C31" s="8" t="s">
        <v>91</v>
      </c>
      <c r="H31" s="8">
        <f t="shared" ref="H31:O31" si="34">+H9/D9-1</f>
        <v>0.84813084112149539</v>
      </c>
      <c r="I31" s="8">
        <f t="shared" si="34"/>
        <v>0.6891025641025641</v>
      </c>
      <c r="J31" s="8">
        <f t="shared" si="34"/>
        <v>0.37350993377483444</v>
      </c>
      <c r="K31" s="8">
        <f t="shared" si="34"/>
        <v>0.36330049261083741</v>
      </c>
      <c r="L31" s="8">
        <f t="shared" si="34"/>
        <v>0.40581542351453859</v>
      </c>
      <c r="M31" s="8">
        <f t="shared" si="34"/>
        <v>0.16508538899430736</v>
      </c>
      <c r="N31" s="8">
        <f t="shared" si="34"/>
        <v>0.13211186113789775</v>
      </c>
      <c r="O31" s="8">
        <f t="shared" si="34"/>
        <v>0.10388437217705504</v>
      </c>
      <c r="P31" s="8">
        <f>+P9/L9-1</f>
        <v>6.744604316546754E-2</v>
      </c>
      <c r="Q31" s="8">
        <f t="shared" ref="Q31:S31" si="35">+Q9/M9-1</f>
        <v>5.0000000000000044E-2</v>
      </c>
      <c r="R31" s="8">
        <f t="shared" si="35"/>
        <v>5.0000000000000044E-2</v>
      </c>
      <c r="S31" s="8">
        <f t="shared" si="35"/>
        <v>5.0000000000000044E-2</v>
      </c>
      <c r="V31" s="8">
        <f t="shared" ref="V31:Y31" si="36">+V9/U9-1</f>
        <v>5.0558659217877056E-2</v>
      </c>
      <c r="W31" s="8">
        <f t="shared" si="36"/>
        <v>-0.5876096782770539</v>
      </c>
      <c r="X31" s="8">
        <f t="shared" si="36"/>
        <v>0.68858800773694395</v>
      </c>
      <c r="Y31" s="8">
        <f t="shared" si="36"/>
        <v>0.52310042000763657</v>
      </c>
      <c r="Z31" s="8">
        <f>+Z9/Y9-1</f>
        <v>0.18726497869140135</v>
      </c>
      <c r="AL31" s="8" t="s">
        <v>99</v>
      </c>
      <c r="AM31" s="3">
        <f>+AM30/Main!K6</f>
        <v>269.55326694022517</v>
      </c>
    </row>
    <row r="32" spans="3:137" s="11" customFormat="1" x14ac:dyDescent="0.2">
      <c r="C32" s="11" t="s">
        <v>46</v>
      </c>
      <c r="H32" s="11">
        <f>+H12/D12-1</f>
        <v>0.81303972366148525</v>
      </c>
      <c r="I32" s="11">
        <f>+I12/E12-1</f>
        <v>0.69514131470308027</v>
      </c>
      <c r="J32" s="11">
        <f>+J12/F12-1</f>
        <v>0.3464267612772427</v>
      </c>
      <c r="K32" s="11">
        <f>+K12/G12-1</f>
        <v>0.33220872694556913</v>
      </c>
      <c r="L32" s="11">
        <f>+L12/H12-1</f>
        <v>0.33722314836865919</v>
      </c>
      <c r="M32" s="11">
        <f>+M12/I12-1</f>
        <v>0.13806669164481078</v>
      </c>
      <c r="N32" s="11">
        <f>+N12/J12-1</f>
        <v>0.11575381140598529</v>
      </c>
      <c r="O32" s="11">
        <f>+O12/K12-1</f>
        <v>2.9039338173223017E-2</v>
      </c>
      <c r="P32" s="11">
        <f>+P12/L12-1</f>
        <v>6.4470169189670523E-2</v>
      </c>
      <c r="Q32" s="11">
        <f t="shared" ref="Q32:S32" si="37">+Q12/M12-1</f>
        <v>0.10000000000000009</v>
      </c>
      <c r="R32" s="11">
        <f t="shared" si="37"/>
        <v>0.10000000000000009</v>
      </c>
      <c r="S32" s="11">
        <f t="shared" si="37"/>
        <v>0.10000000000000009</v>
      </c>
      <c r="V32" s="11">
        <f t="shared" ref="V32:W32" si="38">+V12/U12-1</f>
        <v>1.0309278350515427E-2</v>
      </c>
      <c r="W32" s="11">
        <f t="shared" si="38"/>
        <v>-0.49594697692160972</v>
      </c>
      <c r="X32" s="11">
        <f t="shared" ref="X32:Y32" si="39">+X12/W12-1</f>
        <v>0.31085043988269789</v>
      </c>
      <c r="Y32" s="11">
        <f t="shared" si="39"/>
        <v>0.49909792884462734</v>
      </c>
      <c r="Z32" s="11">
        <f>+Z12/Y12-1</f>
        <v>0.14152987050498234</v>
      </c>
      <c r="AA32" s="11">
        <f>+AA12/Z12-1</f>
        <v>9.1586893265297453E-2</v>
      </c>
      <c r="AB32" s="11">
        <f t="shared" ref="AB32:AJ32" si="40">+AB12/AA12-1</f>
        <v>0.14999999999999991</v>
      </c>
      <c r="AC32" s="11">
        <f t="shared" si="40"/>
        <v>0.14999999999999991</v>
      </c>
      <c r="AD32" s="11">
        <f t="shared" si="40"/>
        <v>0.14999999999999991</v>
      </c>
      <c r="AE32" s="11">
        <f t="shared" si="40"/>
        <v>0.14999999999999991</v>
      </c>
      <c r="AF32" s="11">
        <f t="shared" si="40"/>
        <v>0.14999999999999991</v>
      </c>
      <c r="AG32" s="11">
        <f t="shared" si="40"/>
        <v>0.14999999999999991</v>
      </c>
      <c r="AH32" s="11">
        <f t="shared" si="40"/>
        <v>0.14999999999999991</v>
      </c>
      <c r="AI32" s="11">
        <f t="shared" si="40"/>
        <v>0.14999999999999991</v>
      </c>
      <c r="AJ32" s="11">
        <f t="shared" si="40"/>
        <v>0.14999999999999991</v>
      </c>
      <c r="AL32" s="14" t="s">
        <v>100</v>
      </c>
      <c r="AM32" s="16">
        <v>240</v>
      </c>
    </row>
    <row r="33" spans="3:39" s="14" customFormat="1" x14ac:dyDescent="0.2">
      <c r="C33" s="15" t="s">
        <v>92</v>
      </c>
      <c r="H33" s="14">
        <f t="shared" ref="H33:O33" si="41">+H13/D13-1</f>
        <v>0.45925925925925926</v>
      </c>
      <c r="I33" s="14">
        <f t="shared" si="41"/>
        <v>0.67261904761904767</v>
      </c>
      <c r="J33" s="14">
        <f t="shared" si="41"/>
        <v>0.47549019607843146</v>
      </c>
      <c r="K33" s="14">
        <f t="shared" si="41"/>
        <v>0.29955947136563887</v>
      </c>
      <c r="L33" s="14">
        <f t="shared" si="41"/>
        <v>0.42639593908629436</v>
      </c>
      <c r="M33" s="14">
        <f t="shared" si="41"/>
        <v>2.1352313167259718E-2</v>
      </c>
      <c r="N33" s="14">
        <f t="shared" si="41"/>
        <v>-2.6578073089700949E-2</v>
      </c>
      <c r="O33" s="14">
        <f t="shared" si="41"/>
        <v>3.050847457627115E-2</v>
      </c>
      <c r="P33" s="14">
        <f>+P13/L13-1</f>
        <v>1.7793594306049876E-2</v>
      </c>
      <c r="Q33" s="14">
        <f t="shared" ref="Q33:S33" si="42">+Q13/M13-1</f>
        <v>0.1100000000000001</v>
      </c>
      <c r="R33" s="14">
        <f t="shared" si="42"/>
        <v>0.1100000000000001</v>
      </c>
      <c r="S33" s="14">
        <f t="shared" si="42"/>
        <v>0.1100000000000001</v>
      </c>
      <c r="V33" s="14">
        <f t="shared" ref="V33:Z33" si="43">+V13/U13-1</f>
        <v>7.6569678407349961E-3</v>
      </c>
      <c r="W33" s="14">
        <f t="shared" si="43"/>
        <v>-0.48556231003039518</v>
      </c>
      <c r="X33" s="14">
        <f t="shared" si="43"/>
        <v>8.4194977843426777E-2</v>
      </c>
      <c r="Y33" s="14">
        <f t="shared" si="43"/>
        <v>0.46321525885558579</v>
      </c>
      <c r="Z33" s="14">
        <f t="shared" si="43"/>
        <v>8.4729981378026009E-2</v>
      </c>
      <c r="AA33" s="14">
        <f>+AA13/Z13-1</f>
        <v>8.7759656652360629E-2</v>
      </c>
      <c r="AB33" s="14">
        <f t="shared" ref="AB33:AJ33" si="44">+AB13/AA13-1</f>
        <v>0.1100000000000001</v>
      </c>
      <c r="AC33" s="14">
        <f t="shared" si="44"/>
        <v>0.1100000000000001</v>
      </c>
      <c r="AD33" s="14">
        <f t="shared" si="44"/>
        <v>0.1100000000000001</v>
      </c>
      <c r="AE33" s="14">
        <f t="shared" si="44"/>
        <v>0.1100000000000001</v>
      </c>
      <c r="AF33" s="14">
        <f t="shared" si="44"/>
        <v>0.1100000000000001</v>
      </c>
      <c r="AG33" s="14">
        <f t="shared" si="44"/>
        <v>0.1100000000000001</v>
      </c>
      <c r="AH33" s="14">
        <f t="shared" si="44"/>
        <v>0.1100000000000001</v>
      </c>
      <c r="AI33" s="14">
        <f t="shared" si="44"/>
        <v>0.1100000000000001</v>
      </c>
      <c r="AJ33" s="14">
        <f t="shared" si="44"/>
        <v>0.1100000000000001</v>
      </c>
      <c r="AL33" s="14" t="s">
        <v>101</v>
      </c>
      <c r="AM33" s="14">
        <f>+AM31/AM32-1</f>
        <v>0.12313861225093814</v>
      </c>
    </row>
    <row r="34" spans="3:39" s="14" customFormat="1" x14ac:dyDescent="0.2">
      <c r="C34" s="15" t="s">
        <v>93</v>
      </c>
      <c r="H34" s="14">
        <f t="shared" ref="H34:O34" si="45">+H14/D14-1</f>
        <v>-1.4218009478673022E-2</v>
      </c>
      <c r="I34" s="14">
        <f t="shared" si="45"/>
        <v>0.23529411764705888</v>
      </c>
      <c r="J34" s="14">
        <f t="shared" si="45"/>
        <v>1.8867924528301883E-2</v>
      </c>
      <c r="K34" s="14">
        <f t="shared" si="45"/>
        <v>0.107981220657277</v>
      </c>
      <c r="L34" s="14">
        <f t="shared" si="45"/>
        <v>-2.8846153846153855E-2</v>
      </c>
      <c r="M34" s="14">
        <f t="shared" si="45"/>
        <v>3.8961038961038863E-2</v>
      </c>
      <c r="N34" s="14">
        <f t="shared" si="45"/>
        <v>0.1064814814814814</v>
      </c>
      <c r="O34" s="14">
        <f t="shared" si="45"/>
        <v>0.39830508474576276</v>
      </c>
      <c r="P34" s="14">
        <f>+P14/L14-1</f>
        <v>0.29207920792079212</v>
      </c>
      <c r="Q34" s="14">
        <f t="shared" ref="Q34:S34" si="46">+Q14/M14-1</f>
        <v>0.12999999999999989</v>
      </c>
      <c r="R34" s="14">
        <f t="shared" si="46"/>
        <v>0.12999999999999989</v>
      </c>
      <c r="S34" s="14">
        <f t="shared" si="46"/>
        <v>0.12999999999999989</v>
      </c>
      <c r="V34" s="14">
        <f t="shared" ref="V34:Z34" si="47">+V14/U14-1</f>
        <v>1.1866235167206085E-2</v>
      </c>
      <c r="W34" s="14">
        <f t="shared" si="47"/>
        <v>-0.18763326226012789</v>
      </c>
      <c r="X34" s="14">
        <f t="shared" si="47"/>
        <v>8.0052493438320216E-2</v>
      </c>
      <c r="Y34" s="14">
        <f t="shared" si="47"/>
        <v>8.2624544349939155E-2</v>
      </c>
      <c r="Z34" s="14">
        <f t="shared" si="47"/>
        <v>0.13468013468013473</v>
      </c>
      <c r="AA34" s="14">
        <f>+AA14/Z14-1</f>
        <v>0.16238377843719087</v>
      </c>
      <c r="AB34" s="14">
        <f t="shared" ref="AB34:AJ34" si="48">+AB14/AA14-1</f>
        <v>0.12999999999999989</v>
      </c>
      <c r="AC34" s="14">
        <f t="shared" si="48"/>
        <v>0.12999999999999989</v>
      </c>
      <c r="AD34" s="14">
        <f t="shared" si="48"/>
        <v>0.12999999999999989</v>
      </c>
      <c r="AE34" s="14">
        <f t="shared" si="48"/>
        <v>0.12999999999999989</v>
      </c>
      <c r="AF34" s="14">
        <f t="shared" si="48"/>
        <v>0.12999999999999989</v>
      </c>
      <c r="AG34" s="14">
        <f t="shared" si="48"/>
        <v>0.12999999999999989</v>
      </c>
      <c r="AH34" s="14">
        <f t="shared" si="48"/>
        <v>0.12999999999999989</v>
      </c>
      <c r="AI34" s="14">
        <f t="shared" si="48"/>
        <v>0.12999999999999989</v>
      </c>
      <c r="AJ34" s="14">
        <f t="shared" si="48"/>
        <v>0.12999999999999989</v>
      </c>
    </row>
    <row r="35" spans="3:39" s="14" customFormat="1" x14ac:dyDescent="0.2">
      <c r="C35" s="15" t="s">
        <v>94</v>
      </c>
      <c r="H35" s="14">
        <f t="shared" ref="H35:O35" si="49">+H15/D15-1</f>
        <v>0.73431533006001093</v>
      </c>
      <c r="I35" s="14">
        <f t="shared" si="49"/>
        <v>0.69711751662971166</v>
      </c>
      <c r="J35" s="14">
        <f t="shared" si="49"/>
        <v>0.29790881042166606</v>
      </c>
      <c r="K35" s="14">
        <f t="shared" si="49"/>
        <v>0.31112451009948749</v>
      </c>
      <c r="L35" s="14">
        <f t="shared" si="49"/>
        <v>0.30103806228373697</v>
      </c>
      <c r="M35" s="14">
        <f t="shared" si="49"/>
        <v>0.1408413901228116</v>
      </c>
      <c r="N35" s="14">
        <f t="shared" si="49"/>
        <v>0.11938721605916536</v>
      </c>
      <c r="O35" s="14">
        <f t="shared" si="49"/>
        <v>7.7029202115428852E-2</v>
      </c>
      <c r="P35" s="14">
        <f>+P15/L15-1</f>
        <v>8.824951644100576E-2</v>
      </c>
      <c r="Q35" s="14">
        <f t="shared" ref="Q35:S35" si="50">+Q15/M15-1</f>
        <v>0.15999999999999992</v>
      </c>
      <c r="R35" s="14">
        <f t="shared" si="50"/>
        <v>0.15999999999999992</v>
      </c>
      <c r="S35" s="14">
        <f t="shared" si="50"/>
        <v>0.15999999999999992</v>
      </c>
      <c r="V35" s="14">
        <f t="shared" ref="V35:Z35" si="51">+V15/U15-1</f>
        <v>4.1893776143997918E-2</v>
      </c>
      <c r="W35" s="14">
        <f t="shared" si="51"/>
        <v>-0.48689093010523754</v>
      </c>
      <c r="X35" s="14">
        <f t="shared" si="51"/>
        <v>0.22371072910492007</v>
      </c>
      <c r="Y35" s="14">
        <f t="shared" si="51"/>
        <v>0.46686688626235218</v>
      </c>
      <c r="Z35" s="14">
        <f t="shared" si="51"/>
        <v>0.15078264315434908</v>
      </c>
      <c r="AA35" s="14">
        <f>+AA15/Z15-1</f>
        <v>0.14296831955922862</v>
      </c>
      <c r="AB35" s="14">
        <f t="shared" ref="AB35:AJ35" si="52">+AB15/AA15-1</f>
        <v>0.15999999999999992</v>
      </c>
      <c r="AC35" s="14">
        <f t="shared" si="52"/>
        <v>0.15999999999999992</v>
      </c>
      <c r="AD35" s="14">
        <f t="shared" si="52"/>
        <v>0.15999999999999992</v>
      </c>
      <c r="AE35" s="14">
        <f t="shared" si="52"/>
        <v>0.15999999999999992</v>
      </c>
      <c r="AF35" s="14">
        <f t="shared" si="52"/>
        <v>0.15999999999999992</v>
      </c>
      <c r="AG35" s="14">
        <f t="shared" si="52"/>
        <v>0.15999999999999992</v>
      </c>
      <c r="AH35" s="14">
        <f t="shared" si="52"/>
        <v>0.15999999999999992</v>
      </c>
      <c r="AI35" s="14">
        <f t="shared" si="52"/>
        <v>0.15999999999999992</v>
      </c>
      <c r="AJ35" s="14">
        <f t="shared" si="52"/>
        <v>0.15999999999999992</v>
      </c>
    </row>
    <row r="36" spans="3:39" x14ac:dyDescent="0.2">
      <c r="P36" s="8"/>
    </row>
    <row r="37" spans="3:39" x14ac:dyDescent="0.2">
      <c r="C37" s="8" t="s">
        <v>48</v>
      </c>
      <c r="L37" s="3">
        <f>+L38-L47</f>
        <v>-9769</v>
      </c>
      <c r="M37" s="3">
        <f>+M38-M47</f>
        <v>-10423</v>
      </c>
      <c r="N37" s="3">
        <f>+N38-N47</f>
        <v>-10740</v>
      </c>
      <c r="O37" s="3">
        <f>+O38-O47</f>
        <v>-11227</v>
      </c>
      <c r="P37" s="3">
        <f>+P38-P47</f>
        <v>-11927</v>
      </c>
      <c r="Z37" s="3">
        <f>+P37</f>
        <v>-11927</v>
      </c>
      <c r="AA37" s="3">
        <f>+Z37+AA23</f>
        <v>-9707.6693541599998</v>
      </c>
      <c r="AB37" s="3">
        <f t="shared" ref="AB37:AJ37" si="53">+AA37+AB23</f>
        <v>-7009.3544930719991</v>
      </c>
      <c r="AC37" s="3">
        <f t="shared" si="53"/>
        <v>-3663.591581904398</v>
      </c>
      <c r="AD37" s="3">
        <f t="shared" si="53"/>
        <v>128.97451263590256</v>
      </c>
      <c r="AE37" s="3">
        <f t="shared" si="53"/>
        <v>4323.2382793639044</v>
      </c>
      <c r="AF37" s="3">
        <f t="shared" si="53"/>
        <v>8982.5705495383954</v>
      </c>
      <c r="AG37" s="3">
        <f t="shared" si="53"/>
        <v>14173.544091665764</v>
      </c>
      <c r="AH37" s="3">
        <f t="shared" si="53"/>
        <v>19965.537369653299</v>
      </c>
      <c r="AI37" s="3">
        <f t="shared" si="53"/>
        <v>26430.081985265304</v>
      </c>
      <c r="AJ37" s="3">
        <f t="shared" si="53"/>
        <v>33639.883823067576</v>
      </c>
    </row>
    <row r="38" spans="3:39" x14ac:dyDescent="0.2">
      <c r="C38" s="8" t="s">
        <v>6</v>
      </c>
      <c r="L38" s="3">
        <f>554+334</f>
        <v>888</v>
      </c>
      <c r="M38" s="3">
        <f>563+311</f>
        <v>874</v>
      </c>
      <c r="N38" s="3">
        <f>717+311</f>
        <v>1028</v>
      </c>
      <c r="O38" s="3">
        <f>338+308</f>
        <v>646</v>
      </c>
      <c r="P38" s="3">
        <f>429+302</f>
        <v>731</v>
      </c>
    </row>
    <row r="39" spans="3:39" x14ac:dyDescent="0.2">
      <c r="C39" s="8" t="s">
        <v>49</v>
      </c>
      <c r="L39" s="3">
        <f>2462+126</f>
        <v>2588</v>
      </c>
      <c r="M39" s="3">
        <f>2565+140</f>
        <v>2705</v>
      </c>
      <c r="N39" s="3">
        <f>2703+159</f>
        <v>2862</v>
      </c>
      <c r="O39" s="3">
        <f>2712+138</f>
        <v>2850</v>
      </c>
      <c r="P39" s="3">
        <f>2747+136</f>
        <v>2883</v>
      </c>
    </row>
    <row r="40" spans="3:39" x14ac:dyDescent="0.2">
      <c r="C40" s="8" t="s">
        <v>50</v>
      </c>
      <c r="L40" s="3">
        <v>248</v>
      </c>
      <c r="M40" s="3">
        <v>316</v>
      </c>
      <c r="N40" s="3">
        <v>262</v>
      </c>
      <c r="O40" s="3">
        <v>261</v>
      </c>
      <c r="P40" s="3">
        <v>274</v>
      </c>
    </row>
    <row r="41" spans="3:39" x14ac:dyDescent="0.2">
      <c r="C41" s="8" t="s">
        <v>51</v>
      </c>
      <c r="L41" s="3">
        <v>1595</v>
      </c>
      <c r="M41" s="3">
        <v>1560</v>
      </c>
      <c r="N41" s="3">
        <v>1572</v>
      </c>
      <c r="O41" s="3">
        <v>1581</v>
      </c>
      <c r="P41" s="3">
        <v>1570</v>
      </c>
    </row>
    <row r="42" spans="3:39" x14ac:dyDescent="0.2">
      <c r="C42" s="8" t="s">
        <v>52</v>
      </c>
      <c r="L42" s="3">
        <v>17736</v>
      </c>
      <c r="M42" s="3">
        <v>17845</v>
      </c>
      <c r="N42" s="3">
        <v>17788</v>
      </c>
      <c r="O42" s="3">
        <v>18076</v>
      </c>
      <c r="P42" s="3">
        <v>18067</v>
      </c>
    </row>
    <row r="43" spans="3:39" x14ac:dyDescent="0.2">
      <c r="C43" s="8" t="s">
        <v>53</v>
      </c>
      <c r="L43" s="3">
        <v>240</v>
      </c>
      <c r="M43" s="3">
        <v>240</v>
      </c>
      <c r="N43" s="3">
        <v>240</v>
      </c>
      <c r="O43" s="3">
        <v>673</v>
      </c>
      <c r="P43" s="3">
        <v>673</v>
      </c>
    </row>
    <row r="44" spans="3:39" x14ac:dyDescent="0.2">
      <c r="C44" s="8" t="s">
        <v>54</v>
      </c>
      <c r="L44" s="3">
        <v>984</v>
      </c>
      <c r="M44" s="3">
        <v>965</v>
      </c>
      <c r="N44" s="3">
        <v>937</v>
      </c>
      <c r="O44" s="3">
        <v>929</v>
      </c>
      <c r="P44" s="3">
        <v>897</v>
      </c>
    </row>
    <row r="45" spans="3:39" x14ac:dyDescent="0.2">
      <c r="C45" s="8" t="s">
        <v>36</v>
      </c>
      <c r="L45" s="3">
        <v>584</v>
      </c>
      <c r="M45" s="3">
        <v>582</v>
      </c>
      <c r="N45" s="3">
        <v>578</v>
      </c>
      <c r="O45" s="3">
        <v>658</v>
      </c>
      <c r="P45" s="3">
        <v>661</v>
      </c>
    </row>
    <row r="46" spans="3:39" s="9" customFormat="1" x14ac:dyDescent="0.2">
      <c r="C46" s="11" t="s">
        <v>55</v>
      </c>
      <c r="L46" s="9">
        <f>+SUM(L38:L45)</f>
        <v>24863</v>
      </c>
      <c r="M46" s="9">
        <f>+SUM(M38:M45)</f>
        <v>25087</v>
      </c>
      <c r="N46" s="9">
        <f>+SUM(N38:N45)</f>
        <v>25267</v>
      </c>
      <c r="O46" s="9">
        <f>+SUM(O38:O45)</f>
        <v>25674</v>
      </c>
      <c r="P46" s="9">
        <f>+SUM(P38:P45)</f>
        <v>25756</v>
      </c>
    </row>
    <row r="47" spans="3:39" x14ac:dyDescent="0.2">
      <c r="C47" s="8" t="s">
        <v>7</v>
      </c>
      <c r="L47" s="3">
        <f>358+10299</f>
        <v>10657</v>
      </c>
      <c r="M47" s="3">
        <f>894+10403</f>
        <v>11297</v>
      </c>
      <c r="N47" s="3">
        <f>898+10870</f>
        <v>11768</v>
      </c>
      <c r="O47" s="3">
        <f>553+11320</f>
        <v>11873</v>
      </c>
      <c r="P47" s="3">
        <f>910+11748</f>
        <v>12658</v>
      </c>
    </row>
    <row r="48" spans="3:39" x14ac:dyDescent="0.2">
      <c r="C48" s="8" t="s">
        <v>56</v>
      </c>
      <c r="L48" s="3">
        <v>722</v>
      </c>
      <c r="M48" s="3">
        <v>670</v>
      </c>
      <c r="N48" s="3">
        <v>696</v>
      </c>
      <c r="O48" s="3">
        <v>738</v>
      </c>
      <c r="P48" s="3">
        <v>793</v>
      </c>
    </row>
    <row r="49" spans="3:16" x14ac:dyDescent="0.2">
      <c r="C49" s="8" t="s">
        <v>62</v>
      </c>
      <c r="L49" s="3">
        <v>1027</v>
      </c>
      <c r="M49" s="3">
        <v>1092</v>
      </c>
      <c r="N49" s="3">
        <v>1229</v>
      </c>
      <c r="O49" s="3">
        <v>1390</v>
      </c>
      <c r="P49" s="3">
        <v>1079</v>
      </c>
    </row>
    <row r="50" spans="3:16" x14ac:dyDescent="0.2">
      <c r="C50" s="8" t="s">
        <v>57</v>
      </c>
      <c r="L50" s="3">
        <f>3381+3350</f>
        <v>6731</v>
      </c>
      <c r="M50" s="3">
        <f>3372+3413</f>
        <v>6785</v>
      </c>
      <c r="N50" s="3">
        <f>3367+3427</f>
        <v>6794</v>
      </c>
      <c r="O50" s="3">
        <f>3328+3678</f>
        <v>7006</v>
      </c>
      <c r="P50" s="3">
        <f>3331+3859</f>
        <v>7190</v>
      </c>
    </row>
    <row r="51" spans="3:16" x14ac:dyDescent="0.2">
      <c r="C51" s="8" t="s">
        <v>63</v>
      </c>
      <c r="L51" s="3">
        <v>1481</v>
      </c>
      <c r="M51" s="3">
        <v>1492</v>
      </c>
      <c r="N51" s="3">
        <v>1487</v>
      </c>
      <c r="O51" s="3">
        <v>1753</v>
      </c>
      <c r="P51" s="3">
        <v>2057</v>
      </c>
    </row>
    <row r="52" spans="3:16" x14ac:dyDescent="0.2">
      <c r="C52" s="8" t="s">
        <v>53</v>
      </c>
      <c r="L52" s="3">
        <v>307</v>
      </c>
      <c r="M52" s="3">
        <v>285</v>
      </c>
      <c r="N52" s="3">
        <v>359</v>
      </c>
      <c r="O52" s="3">
        <v>209</v>
      </c>
      <c r="P52" s="3">
        <v>194</v>
      </c>
    </row>
    <row r="53" spans="3:16" x14ac:dyDescent="0.2">
      <c r="C53" s="8" t="s">
        <v>58</v>
      </c>
      <c r="L53" s="3">
        <v>1063</v>
      </c>
      <c r="M53" s="3">
        <v>1039</v>
      </c>
      <c r="N53" s="3">
        <v>1007</v>
      </c>
      <c r="O53" s="3">
        <v>1018</v>
      </c>
      <c r="P53" s="3">
        <v>1047</v>
      </c>
    </row>
    <row r="54" spans="3:16" x14ac:dyDescent="0.2">
      <c r="C54" s="8" t="s">
        <v>54</v>
      </c>
      <c r="L54" s="3">
        <v>1024</v>
      </c>
      <c r="M54" s="3">
        <v>999</v>
      </c>
      <c r="N54" s="3">
        <v>966</v>
      </c>
      <c r="O54" s="3">
        <v>887</v>
      </c>
      <c r="P54" s="3">
        <v>851</v>
      </c>
    </row>
    <row r="55" spans="3:16" x14ac:dyDescent="0.2">
      <c r="C55" s="8" t="s">
        <v>36</v>
      </c>
      <c r="L55" s="3">
        <v>1711</v>
      </c>
      <c r="M55" s="3">
        <v>1652</v>
      </c>
      <c r="N55" s="3">
        <v>1622</v>
      </c>
      <c r="O55" s="3">
        <v>1482</v>
      </c>
      <c r="P55" s="3">
        <v>1503</v>
      </c>
    </row>
    <row r="56" spans="3:16" s="9" customFormat="1" x14ac:dyDescent="0.2">
      <c r="C56" s="11" t="s">
        <v>59</v>
      </c>
      <c r="L56" s="9">
        <f>+SUM(L47:L55)</f>
        <v>24723</v>
      </c>
      <c r="M56" s="9">
        <f>+SUM(M47:M55)</f>
        <v>25311</v>
      </c>
      <c r="N56" s="9">
        <f>+SUM(N47:N55)</f>
        <v>25928</v>
      </c>
      <c r="O56" s="9">
        <f>+SUM(O47:O55)</f>
        <v>26356</v>
      </c>
      <c r="P56" s="9">
        <f>+SUM(P47:P55)</f>
        <v>27372</v>
      </c>
    </row>
    <row r="57" spans="3:16" x14ac:dyDescent="0.2">
      <c r="C57" s="8" t="s">
        <v>60</v>
      </c>
      <c r="L57" s="3">
        <f>+L46-L56</f>
        <v>140</v>
      </c>
      <c r="M57" s="3">
        <f>+M46-M56</f>
        <v>-224</v>
      </c>
      <c r="N57" s="3">
        <f>+N46-N56</f>
        <v>-661</v>
      </c>
      <c r="O57" s="3">
        <f>+O46-O56</f>
        <v>-682</v>
      </c>
      <c r="P57" s="3">
        <f>+P46-P56</f>
        <v>-1616</v>
      </c>
    </row>
    <row r="58" spans="3:16" x14ac:dyDescent="0.2">
      <c r="C58" s="8" t="s">
        <v>61</v>
      </c>
      <c r="L58" s="3">
        <f>+L56+L57</f>
        <v>24863</v>
      </c>
      <c r="M58" s="3">
        <f>+M56+M57</f>
        <v>25087</v>
      </c>
      <c r="N58" s="3">
        <f>+N56+N57</f>
        <v>25267</v>
      </c>
      <c r="O58" s="3">
        <f>+O56+O57</f>
        <v>25674</v>
      </c>
      <c r="P58" s="3">
        <f>+P56+P57</f>
        <v>25756</v>
      </c>
    </row>
    <row r="60" spans="3:16" s="8" customFormat="1" x14ac:dyDescent="0.2">
      <c r="C60" s="8" t="s">
        <v>65</v>
      </c>
      <c r="L60" s="8">
        <f>+$O$61/(L39+L40+L41+L43+L44+L45)</f>
        <v>0.5326174066356788</v>
      </c>
      <c r="M60" s="8">
        <f>+$O$61/(M39+M40+M41+M43+M44+M45)</f>
        <v>0.52182788944723613</v>
      </c>
      <c r="N60" s="8">
        <f>+$O$61/(N39+N40+N41+N43+N44+N45)</f>
        <v>0.5151139358239033</v>
      </c>
      <c r="O60" s="8">
        <f>+$O$61/(O39+O40+O41+O43+O44+O45)</f>
        <v>0.47799194476409668</v>
      </c>
      <c r="P60" s="8">
        <f>+$O$61/(P39+P40+P41+P43+P44+P45)</f>
        <v>0.47757976430008625</v>
      </c>
    </row>
    <row r="61" spans="3:16" x14ac:dyDescent="0.2">
      <c r="C61" s="13" t="s">
        <v>64</v>
      </c>
      <c r="O61" s="3">
        <f>+SUM(L23:O23)</f>
        <v>3323</v>
      </c>
    </row>
    <row r="63" spans="3:16" x14ac:dyDescent="0.2">
      <c r="C63" t="s">
        <v>66</v>
      </c>
      <c r="L63" s="3">
        <f>+L23</f>
        <v>801</v>
      </c>
      <c r="M63" s="3">
        <f>+M23</f>
        <v>805</v>
      </c>
      <c r="N63" s="3">
        <f>+N23</f>
        <v>810</v>
      </c>
      <c r="O63" s="3">
        <f>+O23</f>
        <v>907</v>
      </c>
      <c r="P63" s="3">
        <f>+P23</f>
        <v>617</v>
      </c>
    </row>
    <row r="64" spans="3:16" x14ac:dyDescent="0.2">
      <c r="C64" t="s">
        <v>67</v>
      </c>
      <c r="L64" s="3">
        <v>757</v>
      </c>
      <c r="M64" s="3">
        <f>1483-L64</f>
        <v>726</v>
      </c>
      <c r="N64" s="3">
        <f>2235-SUM(L64:M64)</f>
        <v>752</v>
      </c>
      <c r="O64" s="3">
        <f>3083-SUM(L64:N64)</f>
        <v>848</v>
      </c>
      <c r="P64" s="3">
        <v>564</v>
      </c>
    </row>
    <row r="65" spans="3:16" x14ac:dyDescent="0.2">
      <c r="C65" t="s">
        <v>68</v>
      </c>
      <c r="L65" s="3">
        <v>65</v>
      </c>
      <c r="M65" s="3">
        <f>135-L65</f>
        <v>70</v>
      </c>
      <c r="N65" s="3">
        <f>204-SUM(L65:M65)</f>
        <v>69</v>
      </c>
      <c r="O65" s="3">
        <f>277-SUM(L65:N65)</f>
        <v>73</v>
      </c>
      <c r="P65" s="3">
        <v>68</v>
      </c>
    </row>
    <row r="66" spans="3:16" x14ac:dyDescent="0.2">
      <c r="C66" t="s">
        <v>69</v>
      </c>
      <c r="L66" s="3">
        <v>37</v>
      </c>
      <c r="M66" s="3">
        <f>93-L66</f>
        <v>56</v>
      </c>
      <c r="N66" s="3">
        <f>147-SUM(L66:M66)</f>
        <v>54</v>
      </c>
      <c r="O66" s="3">
        <f>205-SUM(L66:N66)</f>
        <v>58</v>
      </c>
      <c r="P66" s="3">
        <v>53</v>
      </c>
    </row>
    <row r="67" spans="3:16" x14ac:dyDescent="0.2">
      <c r="C67" t="s">
        <v>40</v>
      </c>
      <c r="L67" s="3">
        <v>19</v>
      </c>
      <c r="M67" s="3">
        <f>-80-L67</f>
        <v>-99</v>
      </c>
      <c r="N67" s="3">
        <f>-107-SUM(L67:M67)</f>
        <v>-27</v>
      </c>
      <c r="O67" s="3">
        <f>-612-SUM(L67:N67)</f>
        <v>-505</v>
      </c>
      <c r="P67" s="3">
        <v>105</v>
      </c>
    </row>
    <row r="68" spans="3:16" x14ac:dyDescent="0.2">
      <c r="C68" t="s">
        <v>57</v>
      </c>
      <c r="L68" s="3">
        <v>107</v>
      </c>
      <c r="M68" s="3">
        <f>131-L68</f>
        <v>24</v>
      </c>
      <c r="N68" s="3">
        <f>109-SUM(L68:M68)</f>
        <v>-22</v>
      </c>
      <c r="O68" s="3">
        <f>301-SUM(L68:N68)</f>
        <v>192</v>
      </c>
      <c r="P68" s="3">
        <v>184</v>
      </c>
    </row>
    <row r="69" spans="3:16" x14ac:dyDescent="0.2">
      <c r="C69" t="s">
        <v>70</v>
      </c>
      <c r="L69" s="3">
        <v>-58</v>
      </c>
      <c r="M69" s="3">
        <f>-105-L69</f>
        <v>-47</v>
      </c>
      <c r="N69" s="3">
        <f>-134-SUM(L69:M69)</f>
        <v>-29</v>
      </c>
      <c r="O69" s="3">
        <f>-221-SUM(L69:N69)</f>
        <v>-87</v>
      </c>
      <c r="P69" s="3">
        <v>-80</v>
      </c>
    </row>
    <row r="70" spans="3:16" x14ac:dyDescent="0.2">
      <c r="C70" t="s">
        <v>71</v>
      </c>
      <c r="L70" s="3">
        <v>0</v>
      </c>
      <c r="M70" s="3">
        <f>32-L70</f>
        <v>32</v>
      </c>
      <c r="N70" s="3">
        <f>42-SUM(L70:M70)</f>
        <v>10</v>
      </c>
      <c r="O70" s="3">
        <f>47-SUM(L70:N70)</f>
        <v>5</v>
      </c>
      <c r="P70" s="3">
        <v>7</v>
      </c>
    </row>
    <row r="71" spans="3:16" x14ac:dyDescent="0.2">
      <c r="C71" t="s">
        <v>72</v>
      </c>
      <c r="L71" s="3">
        <v>-96</v>
      </c>
      <c r="M71" s="3">
        <f>-215-L71</f>
        <v>-119</v>
      </c>
      <c r="N71" s="3">
        <f>-141-SUM(L71:M71)</f>
        <v>74</v>
      </c>
      <c r="O71" s="3">
        <f>69-SUM(L71:N71)</f>
        <v>210</v>
      </c>
      <c r="P71" s="3">
        <v>-241</v>
      </c>
    </row>
    <row r="72" spans="3:16" x14ac:dyDescent="0.2">
      <c r="C72" t="s">
        <v>36</v>
      </c>
      <c r="L72" s="3">
        <v>56</v>
      </c>
      <c r="M72" s="3">
        <f>64-L72</f>
        <v>8</v>
      </c>
      <c r="N72" s="3">
        <f>64-SUM(L72:M72)</f>
        <v>0</v>
      </c>
      <c r="O72" s="3">
        <f>21-SUM(L72:N72)</f>
        <v>-43</v>
      </c>
      <c r="P72" s="3">
        <v>119</v>
      </c>
    </row>
    <row r="73" spans="3:16" s="9" customFormat="1" x14ac:dyDescent="0.2">
      <c r="C73" s="5" t="s">
        <v>73</v>
      </c>
      <c r="L73" s="9">
        <f>+SUM(L64:L72)</f>
        <v>887</v>
      </c>
      <c r="M73" s="9">
        <f>+SUM(M64:M72)</f>
        <v>651</v>
      </c>
      <c r="N73" s="9">
        <f>+SUM(N64:N72)</f>
        <v>881</v>
      </c>
      <c r="O73" s="9">
        <f>+SUM(O64:O72)</f>
        <v>751</v>
      </c>
      <c r="P73" s="9">
        <f>+SUM(P64:P72)</f>
        <v>779</v>
      </c>
    </row>
    <row r="75" spans="3:16" x14ac:dyDescent="0.2">
      <c r="C75" t="s">
        <v>74</v>
      </c>
      <c r="L75" s="3">
        <v>-95</v>
      </c>
      <c r="M75" s="3">
        <f>-194-L75</f>
        <v>-99</v>
      </c>
      <c r="N75" s="3">
        <f>-318-SUM(L75:M75)</f>
        <v>-124</v>
      </c>
      <c r="O75" s="3">
        <f>-452-SUM(L75:N75)</f>
        <v>-134</v>
      </c>
      <c r="P75" s="3">
        <v>-109</v>
      </c>
    </row>
    <row r="76" spans="3:16" x14ac:dyDescent="0.2">
      <c r="C76" t="s">
        <v>87</v>
      </c>
      <c r="L76" s="3">
        <v>0</v>
      </c>
      <c r="M76" s="3">
        <f>-102-L76</f>
        <v>-102</v>
      </c>
      <c r="N76" s="3">
        <f>-102-SUM(L76:M76)</f>
        <v>0</v>
      </c>
      <c r="O76" s="3">
        <f>-101-SUM(L76:N76)</f>
        <v>1</v>
      </c>
      <c r="P76" s="3">
        <v>0</v>
      </c>
    </row>
    <row r="77" spans="3:16" x14ac:dyDescent="0.2">
      <c r="C77" t="s">
        <v>88</v>
      </c>
      <c r="L77" s="3">
        <v>0</v>
      </c>
      <c r="M77" s="3">
        <v>0</v>
      </c>
      <c r="N77" s="3">
        <v>61</v>
      </c>
      <c r="O77" s="3">
        <f>71-SUM(L77:N77)</f>
        <v>10</v>
      </c>
      <c r="P77" s="3">
        <v>1</v>
      </c>
    </row>
    <row r="78" spans="3:16" x14ac:dyDescent="0.2">
      <c r="C78" t="s">
        <v>75</v>
      </c>
      <c r="L78" s="3">
        <v>-1</v>
      </c>
      <c r="M78" s="3">
        <f>-17-L78</f>
        <v>-16</v>
      </c>
      <c r="N78" s="3">
        <f>-77-SUM(L78:M78)</f>
        <v>-60</v>
      </c>
      <c r="O78" s="3">
        <f>-77-SUM(L78:N78)</f>
        <v>0</v>
      </c>
      <c r="P78" s="3">
        <v>-1</v>
      </c>
    </row>
    <row r="79" spans="3:16" x14ac:dyDescent="0.2">
      <c r="C79" t="s">
        <v>76</v>
      </c>
      <c r="L79" s="3">
        <v>31</v>
      </c>
      <c r="M79" s="3">
        <f>33-L79</f>
        <v>2</v>
      </c>
      <c r="N79" s="3">
        <f>35-SUM(L79:M79)</f>
        <v>2</v>
      </c>
      <c r="O79" s="3">
        <f>61-SUM(L79:N79)</f>
        <v>26</v>
      </c>
      <c r="P79" s="3">
        <v>8</v>
      </c>
    </row>
    <row r="80" spans="3:16" x14ac:dyDescent="0.2">
      <c r="C80" t="s">
        <v>36</v>
      </c>
      <c r="L80" s="3">
        <v>6</v>
      </c>
      <c r="M80" s="3">
        <f>37-L80</f>
        <v>31</v>
      </c>
      <c r="N80" s="3">
        <f>38-SUM(L80:M80)</f>
        <v>1</v>
      </c>
      <c r="O80" s="3">
        <f>33-SUM(L80:N80)</f>
        <v>-5</v>
      </c>
      <c r="P80" s="3">
        <v>6</v>
      </c>
    </row>
    <row r="81" spans="3:16" x14ac:dyDescent="0.2">
      <c r="C81" t="s">
        <v>77</v>
      </c>
      <c r="L81" s="3">
        <f>SUM(L75:L80)</f>
        <v>-59</v>
      </c>
      <c r="M81" s="3">
        <f>SUM(M75:M80)</f>
        <v>-184</v>
      </c>
      <c r="N81" s="3">
        <f>SUM(N75:N80)</f>
        <v>-120</v>
      </c>
      <c r="O81" s="3">
        <f>SUM(O75:O80)</f>
        <v>-102</v>
      </c>
      <c r="P81" s="3">
        <f>SUM(P75:P80)</f>
        <v>-95</v>
      </c>
    </row>
    <row r="83" spans="3:16" x14ac:dyDescent="0.2">
      <c r="C83" t="s">
        <v>78</v>
      </c>
      <c r="L83" s="3">
        <v>117</v>
      </c>
      <c r="M83" s="3">
        <f>736-L83</f>
        <v>619</v>
      </c>
      <c r="N83" s="3">
        <f>100-SUM(L83:M83)</f>
        <v>-636</v>
      </c>
      <c r="O83" s="3">
        <f>546-SUM(L83:N83)</f>
        <v>446</v>
      </c>
      <c r="P83" s="3">
        <v>-685</v>
      </c>
    </row>
    <row r="84" spans="3:16" x14ac:dyDescent="0.2">
      <c r="C84" t="s">
        <v>79</v>
      </c>
      <c r="L84" s="3">
        <v>783</v>
      </c>
      <c r="M84" s="3">
        <f>783-L84</f>
        <v>0</v>
      </c>
      <c r="N84" s="3">
        <f>1918-SUM(L84:M84)</f>
        <v>1135</v>
      </c>
      <c r="O84" s="3">
        <f>1918-SUM(L84:N84)</f>
        <v>0</v>
      </c>
      <c r="P84" s="3">
        <v>1468</v>
      </c>
    </row>
    <row r="85" spans="3:16" x14ac:dyDescent="0.2">
      <c r="C85" t="s">
        <v>80</v>
      </c>
      <c r="L85" s="3">
        <v>-328</v>
      </c>
      <c r="M85" s="3">
        <f>-330-L85</f>
        <v>-2</v>
      </c>
      <c r="N85" s="3">
        <f>-332-SUM(L85:M85)</f>
        <v>-2</v>
      </c>
      <c r="O85" s="3">
        <f>-684-SUM(L85:N85)</f>
        <v>-352</v>
      </c>
      <c r="P85" s="3">
        <v>-2</v>
      </c>
    </row>
    <row r="86" spans="3:16" x14ac:dyDescent="0.2">
      <c r="C86" t="s">
        <v>89</v>
      </c>
      <c r="L86" s="3">
        <v>0</v>
      </c>
      <c r="M86" s="3">
        <v>0</v>
      </c>
      <c r="N86" s="3">
        <v>29</v>
      </c>
      <c r="O86" s="3">
        <f>29-SUM(L86:N86)</f>
        <v>0</v>
      </c>
      <c r="P86" s="3">
        <v>33</v>
      </c>
    </row>
    <row r="87" spans="3:16" x14ac:dyDescent="0.2">
      <c r="C87" t="s">
        <v>81</v>
      </c>
      <c r="L87" s="3">
        <v>-124</v>
      </c>
      <c r="M87" s="3">
        <f>-281-L87</f>
        <v>-157</v>
      </c>
      <c r="N87" s="3">
        <f>-435-SUM(L87:M87)</f>
        <v>-154</v>
      </c>
      <c r="O87" s="3">
        <f>-587-SUM(L87:N87)</f>
        <v>-152</v>
      </c>
      <c r="P87" s="3">
        <v>-151</v>
      </c>
    </row>
    <row r="88" spans="3:16" x14ac:dyDescent="0.2">
      <c r="C88" t="s">
        <v>82</v>
      </c>
      <c r="L88" s="3">
        <v>-1135</v>
      </c>
      <c r="M88" s="3">
        <f>-2046-L88</f>
        <v>-911</v>
      </c>
      <c r="N88" s="3">
        <f>-2988-SUM(L88:M88)</f>
        <v>-942</v>
      </c>
      <c r="O88" s="3">
        <f>-3953-SUM(L88:N88)</f>
        <v>-965</v>
      </c>
      <c r="P88" s="3">
        <v>-1144</v>
      </c>
    </row>
    <row r="89" spans="3:16" x14ac:dyDescent="0.2">
      <c r="C89" t="s">
        <v>83</v>
      </c>
      <c r="L89" s="3">
        <v>-72</v>
      </c>
      <c r="M89" s="3">
        <f>-79-L89</f>
        <v>-7</v>
      </c>
      <c r="N89" s="3">
        <f>-105-SUM(L89:M89)</f>
        <v>-26</v>
      </c>
      <c r="O89" s="3">
        <f>-108-SUM(L89:N89)</f>
        <v>-3</v>
      </c>
      <c r="P89" s="3">
        <v>-121</v>
      </c>
    </row>
    <row r="90" spans="3:16" x14ac:dyDescent="0.2">
      <c r="C90" t="s">
        <v>36</v>
      </c>
      <c r="L90" s="3">
        <v>-23</v>
      </c>
      <c r="M90" s="3">
        <f>-24-L90</f>
        <v>-1</v>
      </c>
      <c r="N90" s="3">
        <f>-25-SUM(L90:M90)</f>
        <v>-1</v>
      </c>
      <c r="O90" s="3">
        <f>-25-SUM(L90:N90)</f>
        <v>0</v>
      </c>
      <c r="P90" s="3">
        <v>0</v>
      </c>
    </row>
    <row r="91" spans="3:16" x14ac:dyDescent="0.2">
      <c r="C91" t="s">
        <v>84</v>
      </c>
      <c r="L91" s="3">
        <f>SUM(L83:L90)</f>
        <v>-782</v>
      </c>
      <c r="M91" s="3">
        <f>SUM(M83:M90)</f>
        <v>-459</v>
      </c>
      <c r="N91" s="3">
        <f>SUM(N83:N90)</f>
        <v>-597</v>
      </c>
      <c r="O91" s="3">
        <f>SUM(O83:O90)</f>
        <v>-1026</v>
      </c>
      <c r="P91" s="3">
        <f>SUM(P83:P90)</f>
        <v>-602</v>
      </c>
    </row>
    <row r="93" spans="3:16" x14ac:dyDescent="0.2">
      <c r="C93" t="s">
        <v>85</v>
      </c>
      <c r="L93" s="3">
        <f>+L73+L81+L91</f>
        <v>46</v>
      </c>
      <c r="M93" s="3">
        <f>+M73+M81+M91</f>
        <v>8</v>
      </c>
      <c r="N93" s="3">
        <f>+N73+N81+N91</f>
        <v>164</v>
      </c>
      <c r="O93" s="3">
        <f>+O73+O81+O91</f>
        <v>-377</v>
      </c>
      <c r="P93" s="3">
        <f>+P73+P81+P91</f>
        <v>82</v>
      </c>
    </row>
    <row r="95" spans="3:16" x14ac:dyDescent="0.2">
      <c r="C95" t="s">
        <v>86</v>
      </c>
      <c r="L95" s="3">
        <f>+L73+L75</f>
        <v>792</v>
      </c>
      <c r="M95" s="3">
        <f>+M73+M75</f>
        <v>552</v>
      </c>
      <c r="N95" s="3">
        <f>+N73+N75</f>
        <v>757</v>
      </c>
      <c r="O95" s="3">
        <f>+O73+O75</f>
        <v>617</v>
      </c>
      <c r="P95" s="3">
        <f>+P73+P75</f>
        <v>670</v>
      </c>
    </row>
    <row r="96" spans="3:16" x14ac:dyDescent="0.2">
      <c r="C96" s="6" t="s">
        <v>64</v>
      </c>
      <c r="O96" s="3">
        <f>+SUM(L95:O95)</f>
        <v>2718</v>
      </c>
    </row>
  </sheetData>
  <pageMargins left="0.7" right="0.7" top="0.75" bottom="0.75" header="0.3" footer="0.3"/>
  <pageSetup paperSize="9" scale="25" fitToWidth="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2024-05-11T08:24:55Z</dcterms:created>
  <dcterms:modified xsi:type="dcterms:W3CDTF">2024-05-11T20:15:59Z</dcterms:modified>
</cp:coreProperties>
</file>