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772ED0A4-5144-474F-9B9F-99320C281B94}" xr6:coauthVersionLast="47" xr6:coauthVersionMax="47" xr10:uidLastSave="{00000000-0000-0000-0000-000000000000}"/>
  <bookViews>
    <workbookView xWindow="0" yWindow="0" windowWidth="14400" windowHeight="15600" activeTab="1" xr2:uid="{C726B151-C651-4076-87D2-6725387E7B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2" l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C6" i="2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B7" i="2"/>
  <c r="AB6" i="2"/>
  <c r="AD5" i="2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C5" i="2"/>
  <c r="AC27" i="2" s="1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B15" i="2"/>
  <c r="AB12" i="2"/>
  <c r="AB13" i="2" s="1"/>
  <c r="AB11" i="2"/>
  <c r="AB10" i="2"/>
  <c r="AB29" i="2" s="1"/>
  <c r="AA29" i="2"/>
  <c r="X31" i="2"/>
  <c r="X53" i="2"/>
  <c r="X30" i="2"/>
  <c r="X29" i="2"/>
  <c r="Y31" i="2"/>
  <c r="Y30" i="2"/>
  <c r="Y29" i="2"/>
  <c r="Z31" i="2"/>
  <c r="Z30" i="2"/>
  <c r="Z29" i="2"/>
  <c r="AA31" i="2"/>
  <c r="AA30" i="2"/>
  <c r="AM2" i="2"/>
  <c r="AN2" i="2" s="1"/>
  <c r="AO2" i="2" s="1"/>
  <c r="AP2" i="2" s="1"/>
  <c r="AQ2" i="2" s="1"/>
  <c r="AC8" i="2" l="1"/>
  <c r="AC9" i="2" s="1"/>
  <c r="AB8" i="2"/>
  <c r="AB9" i="2" s="1"/>
  <c r="AB22" i="2" s="1"/>
  <c r="AC10" i="2"/>
  <c r="AC11" i="2"/>
  <c r="AQ10" i="2"/>
  <c r="AC12" i="2"/>
  <c r="AO10" i="2"/>
  <c r="AJ11" i="2"/>
  <c r="AG12" i="2"/>
  <c r="AF10" i="2"/>
  <c r="AM11" i="2"/>
  <c r="AJ12" i="2"/>
  <c r="AD10" i="2"/>
  <c r="AD13" i="2" s="1"/>
  <c r="AL27" i="2"/>
  <c r="AN11" i="2"/>
  <c r="AK12" i="2"/>
  <c r="AJ27" i="2"/>
  <c r="AH10" i="2"/>
  <c r="AO11" i="2"/>
  <c r="AM27" i="2"/>
  <c r="AN27" i="2"/>
  <c r="AI10" i="2"/>
  <c r="AD11" i="2"/>
  <c r="AP11" i="2"/>
  <c r="AM12" i="2"/>
  <c r="AK11" i="2"/>
  <c r="AO27" i="2"/>
  <c r="AJ10" i="2"/>
  <c r="AE11" i="2"/>
  <c r="AL11" i="2"/>
  <c r="AD27" i="2"/>
  <c r="AP27" i="2"/>
  <c r="AK10" i="2"/>
  <c r="AF11" i="2"/>
  <c r="AO12" i="2"/>
  <c r="AH12" i="2"/>
  <c r="AG10" i="2"/>
  <c r="AE27" i="2"/>
  <c r="AQ27" i="2"/>
  <c r="AL10" i="2"/>
  <c r="AG11" i="2"/>
  <c r="AD12" i="2"/>
  <c r="AP12" i="2"/>
  <c r="AI27" i="2"/>
  <c r="AE10" i="2"/>
  <c r="AF27" i="2"/>
  <c r="AM10" i="2"/>
  <c r="AH11" i="2"/>
  <c r="AE12" i="2"/>
  <c r="AQ12" i="2"/>
  <c r="AH27" i="2"/>
  <c r="AG27" i="2"/>
  <c r="AN10" i="2"/>
  <c r="AI11" i="2"/>
  <c r="AF12" i="2"/>
  <c r="AC13" i="2"/>
  <c r="AB14" i="2" l="1"/>
  <c r="AB16" i="2" s="1"/>
  <c r="AB17" i="2" s="1"/>
  <c r="AB18" i="2" s="1"/>
  <c r="AC14" i="2"/>
  <c r="AC16" i="2" s="1"/>
  <c r="AC17" i="2" s="1"/>
  <c r="AC18" i="2" s="1"/>
  <c r="AN12" i="2"/>
  <c r="AI12" i="2"/>
  <c r="AK27" i="2"/>
  <c r="AQ11" i="2"/>
  <c r="AL12" i="2"/>
  <c r="AP10" i="2"/>
  <c r="AE13" i="2"/>
  <c r="AD8" i="2"/>
  <c r="AD9" i="2" s="1"/>
  <c r="AD14" i="2" s="1"/>
  <c r="AD16" i="2" s="1"/>
  <c r="AD17" i="2" s="1"/>
  <c r="AD18" i="2" s="1"/>
  <c r="AF13" i="2" l="1"/>
  <c r="AE8" i="2"/>
  <c r="AE9" i="2" s="1"/>
  <c r="AE14" i="2" s="1"/>
  <c r="AE16" i="2" s="1"/>
  <c r="AE17" i="2" l="1"/>
  <c r="AE18" i="2" s="1"/>
  <c r="AG13" i="2"/>
  <c r="AF8" i="2"/>
  <c r="AF9" i="2" s="1"/>
  <c r="AF14" i="2" s="1"/>
  <c r="AF16" i="2" s="1"/>
  <c r="AF17" i="2" l="1"/>
  <c r="AF18" i="2" s="1"/>
  <c r="AH13" i="2"/>
  <c r="AG8" i="2"/>
  <c r="AG9" i="2" s="1"/>
  <c r="AG14" i="2" s="1"/>
  <c r="AG16" i="2" s="1"/>
  <c r="AG17" i="2" s="1"/>
  <c r="AG18" i="2" s="1"/>
  <c r="AI13" i="2" l="1"/>
  <c r="AH8" i="2"/>
  <c r="AH9" i="2" s="1"/>
  <c r="AH14" i="2" s="1"/>
  <c r="AH16" i="2" s="1"/>
  <c r="AH17" i="2" s="1"/>
  <c r="AH18" i="2" s="1"/>
  <c r="AJ13" i="2" l="1"/>
  <c r="AI8" i="2"/>
  <c r="AI9" i="2" s="1"/>
  <c r="AI14" i="2" s="1"/>
  <c r="AI16" i="2" s="1"/>
  <c r="AI17" i="2" s="1"/>
  <c r="AI18" i="2" s="1"/>
  <c r="AK13" i="2" l="1"/>
  <c r="AJ8" i="2"/>
  <c r="AJ9" i="2" s="1"/>
  <c r="AJ14" i="2" s="1"/>
  <c r="AJ16" i="2" s="1"/>
  <c r="AJ17" i="2" s="1"/>
  <c r="AJ18" i="2" s="1"/>
  <c r="AL13" i="2" l="1"/>
  <c r="AK8" i="2"/>
  <c r="AK9" i="2" s="1"/>
  <c r="AK14" i="2" s="1"/>
  <c r="AK16" i="2" s="1"/>
  <c r="AK17" i="2" s="1"/>
  <c r="AK18" i="2" s="1"/>
  <c r="AM13" i="2" l="1"/>
  <c r="AL8" i="2"/>
  <c r="AL9" i="2" s="1"/>
  <c r="AL14" i="2" s="1"/>
  <c r="AL16" i="2" s="1"/>
  <c r="AL17" i="2" l="1"/>
  <c r="AL18" i="2" s="1"/>
  <c r="AN13" i="2"/>
  <c r="AM8" i="2"/>
  <c r="AM9" i="2" s="1"/>
  <c r="AM14" i="2" s="1"/>
  <c r="AM16" i="2" s="1"/>
  <c r="AM17" i="2" s="1"/>
  <c r="AM18" i="2" s="1"/>
  <c r="AO13" i="2" l="1"/>
  <c r="AN8" i="2"/>
  <c r="AN9" i="2" s="1"/>
  <c r="AN14" i="2" s="1"/>
  <c r="AN16" i="2" s="1"/>
  <c r="AN17" i="2" l="1"/>
  <c r="AN18" i="2" s="1"/>
  <c r="AP13" i="2"/>
  <c r="AQ13" i="2"/>
  <c r="AO8" i="2"/>
  <c r="AO9" i="2" s="1"/>
  <c r="AO14" i="2" s="1"/>
  <c r="AO16" i="2" s="1"/>
  <c r="AO17" i="2" l="1"/>
  <c r="AO18" i="2" s="1"/>
  <c r="AP8" i="2"/>
  <c r="AP9" i="2" s="1"/>
  <c r="AP14" i="2" s="1"/>
  <c r="AP16" i="2" s="1"/>
  <c r="AQ8" i="2"/>
  <c r="AQ9" i="2" s="1"/>
  <c r="AQ14" i="2" s="1"/>
  <c r="AQ16" i="2" s="1"/>
  <c r="AQ17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AP17" i="2" l="1"/>
  <c r="AP18" i="2" s="1"/>
  <c r="AS32" i="2" s="1"/>
  <c r="AS33" i="2" s="1"/>
  <c r="AS34" i="2" s="1"/>
  <c r="AS36" i="2" s="1"/>
  <c r="U77" i="2" l="1"/>
  <c r="T77" i="2"/>
  <c r="S77" i="2"/>
  <c r="U74" i="2"/>
  <c r="T74" i="2"/>
  <c r="S74" i="2"/>
  <c r="V77" i="2"/>
  <c r="V74" i="2"/>
  <c r="W77" i="2"/>
  <c r="W74" i="2"/>
  <c r="X77" i="2"/>
  <c r="X74" i="2"/>
  <c r="Y77" i="2"/>
  <c r="Y74" i="2"/>
  <c r="Z77" i="2"/>
  <c r="Z74" i="2"/>
  <c r="AA77" i="2"/>
  <c r="AA74" i="2"/>
  <c r="S15" i="2"/>
  <c r="S13" i="2"/>
  <c r="S8" i="2"/>
  <c r="S5" i="2"/>
  <c r="T15" i="2"/>
  <c r="T13" i="2"/>
  <c r="T8" i="2"/>
  <c r="T5" i="2"/>
  <c r="U15" i="2"/>
  <c r="U13" i="2"/>
  <c r="U8" i="2"/>
  <c r="U5" i="2"/>
  <c r="V15" i="2"/>
  <c r="V13" i="2"/>
  <c r="V8" i="2"/>
  <c r="V5" i="2"/>
  <c r="W15" i="2"/>
  <c r="W13" i="2"/>
  <c r="W8" i="2"/>
  <c r="W5" i="2"/>
  <c r="X15" i="2"/>
  <c r="X13" i="2"/>
  <c r="X8" i="2"/>
  <c r="X5" i="2"/>
  <c r="X27" i="2" s="1"/>
  <c r="Y15" i="2"/>
  <c r="Y13" i="2"/>
  <c r="Y8" i="2"/>
  <c r="Y5" i="2"/>
  <c r="Z15" i="2"/>
  <c r="Z13" i="2"/>
  <c r="Z8" i="2"/>
  <c r="Z5" i="2"/>
  <c r="AA15" i="2"/>
  <c r="AA13" i="2"/>
  <c r="AA8" i="2"/>
  <c r="AA5" i="2"/>
  <c r="AA27" i="2" s="1"/>
  <c r="P64" i="2"/>
  <c r="P65" i="2" s="1"/>
  <c r="P60" i="2"/>
  <c r="P59" i="2"/>
  <c r="P57" i="2"/>
  <c r="P70" i="2"/>
  <c r="P45" i="2"/>
  <c r="P43" i="2"/>
  <c r="P36" i="2"/>
  <c r="P30" i="2"/>
  <c r="O60" i="2"/>
  <c r="O59" i="2"/>
  <c r="O57" i="2"/>
  <c r="O70" i="2"/>
  <c r="O64" i="2"/>
  <c r="O65" i="2" s="1"/>
  <c r="O45" i="2"/>
  <c r="O43" i="2"/>
  <c r="O36" i="2"/>
  <c r="O30" i="2"/>
  <c r="O29" i="2" s="1"/>
  <c r="N70" i="2"/>
  <c r="N64" i="2"/>
  <c r="N65" i="2" s="1"/>
  <c r="N60" i="2"/>
  <c r="N59" i="2"/>
  <c r="N57" i="2"/>
  <c r="N45" i="2"/>
  <c r="N43" i="2"/>
  <c r="N36" i="2"/>
  <c r="N30" i="2"/>
  <c r="N29" i="2" s="1"/>
  <c r="M45" i="2"/>
  <c r="M43" i="2"/>
  <c r="M36" i="2"/>
  <c r="M30" i="2"/>
  <c r="M29" i="2" s="1"/>
  <c r="E13" i="2"/>
  <c r="E8" i="2"/>
  <c r="E5" i="2"/>
  <c r="B15" i="2"/>
  <c r="B13" i="2"/>
  <c r="B8" i="2"/>
  <c r="B5" i="2"/>
  <c r="F15" i="2"/>
  <c r="F13" i="2"/>
  <c r="F8" i="2"/>
  <c r="F5" i="2"/>
  <c r="C15" i="2"/>
  <c r="C13" i="2"/>
  <c r="C8" i="2"/>
  <c r="C5" i="2"/>
  <c r="G15" i="2"/>
  <c r="G13" i="2"/>
  <c r="G8" i="2"/>
  <c r="G5" i="2"/>
  <c r="D15" i="2"/>
  <c r="D13" i="2"/>
  <c r="D8" i="2"/>
  <c r="D5" i="2"/>
  <c r="H15" i="2"/>
  <c r="H13" i="2"/>
  <c r="H8" i="2"/>
  <c r="H5" i="2"/>
  <c r="I13" i="2"/>
  <c r="I8" i="2"/>
  <c r="I5" i="2"/>
  <c r="M13" i="2"/>
  <c r="M8" i="2"/>
  <c r="M5" i="2"/>
  <c r="Q27" i="2" s="1"/>
  <c r="J15" i="2"/>
  <c r="J13" i="2"/>
  <c r="J8" i="2"/>
  <c r="J5" i="2"/>
  <c r="N15" i="2"/>
  <c r="N13" i="2"/>
  <c r="N8" i="2"/>
  <c r="N5" i="2"/>
  <c r="K15" i="2"/>
  <c r="K13" i="2"/>
  <c r="K8" i="2"/>
  <c r="K5" i="2"/>
  <c r="O15" i="2"/>
  <c r="O13" i="2"/>
  <c r="O8" i="2"/>
  <c r="O5" i="2"/>
  <c r="L15" i="2"/>
  <c r="L13" i="2"/>
  <c r="L8" i="2"/>
  <c r="L5" i="2"/>
  <c r="P15" i="2"/>
  <c r="P13" i="2"/>
  <c r="P8" i="2"/>
  <c r="P5" i="2"/>
  <c r="L6" i="1"/>
  <c r="L5" i="1"/>
  <c r="L8" i="1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B5" i="2" l="1"/>
  <c r="AB27" i="2" s="1"/>
  <c r="O61" i="2"/>
  <c r="O77" i="2" s="1"/>
  <c r="Z27" i="2"/>
  <c r="O39" i="2"/>
  <c r="P49" i="2"/>
  <c r="P51" i="2" s="1"/>
  <c r="O49" i="2"/>
  <c r="O51" i="2" s="1"/>
  <c r="P61" i="2"/>
  <c r="P77" i="2" s="1"/>
  <c r="N61" i="2"/>
  <c r="P39" i="2"/>
  <c r="T27" i="2"/>
  <c r="S9" i="2"/>
  <c r="S22" i="2" s="1"/>
  <c r="T9" i="2"/>
  <c r="U27" i="2"/>
  <c r="U9" i="2"/>
  <c r="U14" i="2" s="1"/>
  <c r="U23" i="2" s="1"/>
  <c r="V27" i="2"/>
  <c r="W27" i="2"/>
  <c r="V9" i="2"/>
  <c r="V22" i="2" s="1"/>
  <c r="W9" i="2"/>
  <c r="W22" i="2" s="1"/>
  <c r="X9" i="2"/>
  <c r="X22" i="2" s="1"/>
  <c r="Y27" i="2"/>
  <c r="Y9" i="2"/>
  <c r="Y14" i="2" s="1"/>
  <c r="Z9" i="2"/>
  <c r="Z22" i="2" s="1"/>
  <c r="AA9" i="2"/>
  <c r="AA22" i="2" s="1"/>
  <c r="P29" i="2"/>
  <c r="O74" i="2"/>
  <c r="N49" i="2"/>
  <c r="N51" i="2" s="1"/>
  <c r="M49" i="2"/>
  <c r="M51" i="2" s="1"/>
  <c r="N39" i="2"/>
  <c r="O27" i="2"/>
  <c r="P9" i="2"/>
  <c r="P14" i="2" s="1"/>
  <c r="M39" i="2"/>
  <c r="E9" i="2"/>
  <c r="E22" i="2" s="1"/>
  <c r="I27" i="2"/>
  <c r="F27" i="2"/>
  <c r="B9" i="2"/>
  <c r="B14" i="2" s="1"/>
  <c r="B16" i="2" s="1"/>
  <c r="F9" i="2"/>
  <c r="F14" i="2" s="1"/>
  <c r="F23" i="2" s="1"/>
  <c r="J27" i="2"/>
  <c r="C9" i="2"/>
  <c r="C14" i="2" s="1"/>
  <c r="C23" i="2" s="1"/>
  <c r="G27" i="2"/>
  <c r="G9" i="2"/>
  <c r="G14" i="2" s="1"/>
  <c r="G16" i="2" s="1"/>
  <c r="K27" i="2"/>
  <c r="H27" i="2"/>
  <c r="D9" i="2"/>
  <c r="D22" i="2" s="1"/>
  <c r="L27" i="2"/>
  <c r="H9" i="2"/>
  <c r="H14" i="2" s="1"/>
  <c r="I9" i="2"/>
  <c r="I22" i="2" s="1"/>
  <c r="M27" i="2"/>
  <c r="M9" i="2"/>
  <c r="M14" i="2" s="1"/>
  <c r="M23" i="2" s="1"/>
  <c r="N27" i="2"/>
  <c r="J9" i="2"/>
  <c r="J14" i="2" s="1"/>
  <c r="J16" i="2" s="1"/>
  <c r="N9" i="2"/>
  <c r="N14" i="2" s="1"/>
  <c r="N16" i="2" s="1"/>
  <c r="K9" i="2"/>
  <c r="K14" i="2" s="1"/>
  <c r="O9" i="2"/>
  <c r="O14" i="2" s="1"/>
  <c r="O16" i="2" s="1"/>
  <c r="L9" i="2"/>
  <c r="P27" i="2"/>
  <c r="P72" i="2" l="1"/>
  <c r="O72" i="2"/>
  <c r="P74" i="2"/>
  <c r="P75" i="2" s="1"/>
  <c r="P78" i="2"/>
  <c r="O78" i="2"/>
  <c r="Z14" i="2"/>
  <c r="Z23" i="2" s="1"/>
  <c r="N72" i="2"/>
  <c r="N77" i="2"/>
  <c r="N78" i="2" s="1"/>
  <c r="N74" i="2"/>
  <c r="S14" i="2"/>
  <c r="S23" i="2" s="1"/>
  <c r="T22" i="2"/>
  <c r="T14" i="2"/>
  <c r="U22" i="2"/>
  <c r="U16" i="2"/>
  <c r="U25" i="2" s="1"/>
  <c r="V14" i="2"/>
  <c r="V23" i="2" s="1"/>
  <c r="W14" i="2"/>
  <c r="W23" i="2" s="1"/>
  <c r="X14" i="2"/>
  <c r="X23" i="2" s="1"/>
  <c r="Y22" i="2"/>
  <c r="Y23" i="2"/>
  <c r="Y16" i="2"/>
  <c r="AA14" i="2"/>
  <c r="P23" i="2"/>
  <c r="P16" i="2"/>
  <c r="P25" i="2" s="1"/>
  <c r="P22" i="2"/>
  <c r="E14" i="2"/>
  <c r="E23" i="2" s="1"/>
  <c r="B23" i="2"/>
  <c r="B22" i="2"/>
  <c r="B25" i="2"/>
  <c r="B18" i="2"/>
  <c r="F22" i="2"/>
  <c r="F16" i="2"/>
  <c r="F25" i="2" s="1"/>
  <c r="C22" i="2"/>
  <c r="C16" i="2"/>
  <c r="C18" i="2" s="1"/>
  <c r="G23" i="2"/>
  <c r="G22" i="2"/>
  <c r="G25" i="2"/>
  <c r="G18" i="2"/>
  <c r="D14" i="2"/>
  <c r="D16" i="2" s="1"/>
  <c r="H22" i="2"/>
  <c r="H16" i="2"/>
  <c r="H23" i="2"/>
  <c r="I14" i="2"/>
  <c r="I23" i="2" s="1"/>
  <c r="M16" i="2"/>
  <c r="M18" i="2" s="1"/>
  <c r="M22" i="2"/>
  <c r="J23" i="2"/>
  <c r="J22" i="2"/>
  <c r="J25" i="2"/>
  <c r="J18" i="2"/>
  <c r="N23" i="2"/>
  <c r="N22" i="2"/>
  <c r="N25" i="2"/>
  <c r="N18" i="2"/>
  <c r="N53" i="2" s="1"/>
  <c r="K22" i="2"/>
  <c r="K23" i="2"/>
  <c r="K16" i="2"/>
  <c r="O23" i="2"/>
  <c r="O22" i="2"/>
  <c r="O25" i="2"/>
  <c r="O18" i="2"/>
  <c r="O53" i="2" s="1"/>
  <c r="L22" i="2"/>
  <c r="L14" i="2"/>
  <c r="O75" i="2" l="1"/>
  <c r="N75" i="2"/>
  <c r="Z16" i="2"/>
  <c r="Z18" i="2" s="1"/>
  <c r="Z53" i="2" s="1"/>
  <c r="S16" i="2"/>
  <c r="S25" i="2"/>
  <c r="S18" i="2"/>
  <c r="S53" i="2" s="1"/>
  <c r="T23" i="2"/>
  <c r="T16" i="2"/>
  <c r="U18" i="2"/>
  <c r="V16" i="2"/>
  <c r="V18" i="2" s="1"/>
  <c r="V53" i="2" s="1"/>
  <c r="W16" i="2"/>
  <c r="W25" i="2" s="1"/>
  <c r="X16" i="2"/>
  <c r="X25" i="2" s="1"/>
  <c r="Y25" i="2"/>
  <c r="Y18" i="2"/>
  <c r="Y53" i="2" s="1"/>
  <c r="AA23" i="2"/>
  <c r="AA16" i="2"/>
  <c r="P18" i="2"/>
  <c r="E16" i="2"/>
  <c r="E18" i="2" s="1"/>
  <c r="B24" i="2"/>
  <c r="B19" i="2"/>
  <c r="F18" i="2"/>
  <c r="F19" i="2" s="1"/>
  <c r="C25" i="2"/>
  <c r="C24" i="2"/>
  <c r="C19" i="2"/>
  <c r="G24" i="2"/>
  <c r="G19" i="2"/>
  <c r="D23" i="2"/>
  <c r="D25" i="2"/>
  <c r="D18" i="2"/>
  <c r="H25" i="2"/>
  <c r="H18" i="2"/>
  <c r="I16" i="2"/>
  <c r="I25" i="2" s="1"/>
  <c r="M25" i="2"/>
  <c r="M24" i="2"/>
  <c r="M19" i="2"/>
  <c r="J24" i="2"/>
  <c r="J19" i="2"/>
  <c r="N24" i="2"/>
  <c r="N19" i="2"/>
  <c r="K25" i="2"/>
  <c r="K18" i="2"/>
  <c r="O24" i="2"/>
  <c r="O19" i="2"/>
  <c r="L23" i="2"/>
  <c r="L16" i="2"/>
  <c r="Z25" i="2" l="1"/>
  <c r="U19" i="2"/>
  <c r="U53" i="2"/>
  <c r="P19" i="2"/>
  <c r="P53" i="2"/>
  <c r="S24" i="2"/>
  <c r="S19" i="2"/>
  <c r="T25" i="2"/>
  <c r="T18" i="2"/>
  <c r="T53" i="2" s="1"/>
  <c r="U24" i="2"/>
  <c r="V25" i="2"/>
  <c r="V24" i="2"/>
  <c r="V19" i="2"/>
  <c r="W18" i="2"/>
  <c r="X18" i="2"/>
  <c r="Y24" i="2"/>
  <c r="Y19" i="2"/>
  <c r="Z24" i="2"/>
  <c r="Z19" i="2"/>
  <c r="AA25" i="2"/>
  <c r="AA18" i="2"/>
  <c r="AA53" i="2" s="1"/>
  <c r="P24" i="2"/>
  <c r="E25" i="2"/>
  <c r="E24" i="2"/>
  <c r="E19" i="2"/>
  <c r="F24" i="2"/>
  <c r="D24" i="2"/>
  <c r="D19" i="2"/>
  <c r="H24" i="2"/>
  <c r="H19" i="2"/>
  <c r="I18" i="2"/>
  <c r="I24" i="2" s="1"/>
  <c r="K24" i="2"/>
  <c r="K19" i="2"/>
  <c r="L25" i="2"/>
  <c r="L18" i="2"/>
  <c r="X24" i="2" l="1"/>
  <c r="W24" i="2"/>
  <c r="W53" i="2"/>
  <c r="T24" i="2"/>
  <c r="T19" i="2"/>
  <c r="W19" i="2"/>
  <c r="X19" i="2"/>
  <c r="AA24" i="2"/>
  <c r="AA19" i="2"/>
  <c r="I19" i="2"/>
  <c r="L19" i="2"/>
  <c r="L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Q5" authorId="0" shapeId="0" xr:uid="{F0FB1E25-8B30-4026-80AB-0CB8761EE357}">
      <text>
        <r>
          <rPr>
            <b/>
            <sz val="9"/>
            <color indexed="81"/>
            <rFont val="Tahoma"/>
            <charset val="1"/>
          </rPr>
          <t>Dennis Hesselberth:</t>
        </r>
        <r>
          <rPr>
            <sz val="9"/>
            <color indexed="81"/>
            <rFont val="Tahoma"/>
            <charset val="1"/>
          </rPr>
          <t xml:space="preserve">
Guidance
515M - 519M</t>
        </r>
      </text>
    </comment>
  </commentList>
</comments>
</file>

<file path=xl/sharedStrings.xml><?xml version="1.0" encoding="utf-8"?>
<sst xmlns="http://schemas.openxmlformats.org/spreadsheetml/2006/main" count="101" uniqueCount="94">
  <si>
    <t>Revenue</t>
  </si>
  <si>
    <t>COGS</t>
  </si>
  <si>
    <t>Gross profit</t>
  </si>
  <si>
    <t>R&amp;D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</si>
  <si>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</si>
  <si>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</si>
  <si>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</si>
  <si>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</si>
  <si>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</si>
  <si>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</si>
  <si>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</si>
  <si>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</si>
  <si>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</si>
  <si>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</si>
  <si>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Q222</t>
  </si>
  <si>
    <t>Q322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</si>
  <si>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</si>
  <si>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</si>
  <si>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</si>
  <si>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</si>
  <si>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</si>
  <si>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</si>
  <si>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</si>
  <si>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</si>
  <si>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</si>
  <si>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</si>
  <si>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</si>
  <si>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</si>
  <si>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</si>
  <si>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</si>
  <si>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</si>
  <si>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Subscription</t>
  </si>
  <si>
    <t>Services</t>
  </si>
  <si>
    <t>COGS subscription</t>
  </si>
  <si>
    <t>COGS Services</t>
  </si>
  <si>
    <t>S&amp;M</t>
  </si>
  <si>
    <t>G&amp;A</t>
  </si>
  <si>
    <t>OpEx</t>
  </si>
  <si>
    <t>OpIn</t>
  </si>
  <si>
    <t>Interest</t>
  </si>
  <si>
    <t>Net cash</t>
  </si>
  <si>
    <t>A/R</t>
  </si>
  <si>
    <t>Deferred commisions</t>
  </si>
  <si>
    <t>Prepaids</t>
  </si>
  <si>
    <t>PP&amp;E</t>
  </si>
  <si>
    <t>Leases</t>
  </si>
  <si>
    <t>Goodwill</t>
  </si>
  <si>
    <t>DTA</t>
  </si>
  <si>
    <t>Other</t>
  </si>
  <si>
    <t>Assets</t>
  </si>
  <si>
    <t>A/P</t>
  </si>
  <si>
    <t>Compensation</t>
  </si>
  <si>
    <t>Lease</t>
  </si>
  <si>
    <t>OAL</t>
  </si>
  <si>
    <t>DR</t>
  </si>
  <si>
    <t>DTL</t>
  </si>
  <si>
    <t>OL</t>
  </si>
  <si>
    <t>S/E</t>
  </si>
  <si>
    <t>L+S/E</t>
  </si>
  <si>
    <t>Liabilities</t>
  </si>
  <si>
    <t>Model NI</t>
  </si>
  <si>
    <t>Reported NI</t>
  </si>
  <si>
    <t>D&amp;A</t>
  </si>
  <si>
    <t>SBC</t>
  </si>
  <si>
    <t>Amortization</t>
  </si>
  <si>
    <t>DT</t>
  </si>
  <si>
    <t>FX-Financial</t>
  </si>
  <si>
    <t>WC</t>
  </si>
  <si>
    <t>CFFO</t>
  </si>
  <si>
    <t>CapEx</t>
  </si>
  <si>
    <t>Investments</t>
  </si>
  <si>
    <t>CFFI</t>
  </si>
  <si>
    <t>ESOP</t>
  </si>
  <si>
    <t>Capped Calls</t>
  </si>
  <si>
    <t>CFFF</t>
  </si>
  <si>
    <t>FX</t>
  </si>
  <si>
    <t>Headcount</t>
  </si>
  <si>
    <t>FCF</t>
  </si>
  <si>
    <t>FCF TTM</t>
  </si>
  <si>
    <t>FCF-SBC</t>
  </si>
  <si>
    <t>FCF-SBC TTM</t>
  </si>
  <si>
    <t>CIC</t>
  </si>
  <si>
    <t>Q125</t>
  </si>
  <si>
    <t>Q225</t>
  </si>
  <si>
    <t>Q325</t>
  </si>
  <si>
    <t>Q425</t>
  </si>
  <si>
    <t>Discount</t>
  </si>
  <si>
    <t>Terminal</t>
  </si>
  <si>
    <t>NPV</t>
  </si>
  <si>
    <t>ROIC</t>
  </si>
  <si>
    <t>Value</t>
  </si>
  <si>
    <t>Per share</t>
  </si>
  <si>
    <t>Current price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</si>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</sst>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9" fontId="1" fillId="0" borderId="0" xfId="0" applyNumberFormat="1" applyFont="1"/>
    <xf numFmtId="3" fontId="1" fillId="0" borderId="0" xfId="0" applyNumberFormat="1" applyFont="1"/>
    <xf numFmtId="164" fontId="0" fillId="0" borderId="0" xfId="0" applyNumberForma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0</xdr:rowOff>
    </xdr:from>
    <xdr:to>
      <xdr:col>16</xdr:col>
      <xdr:colOff>28575</xdr:colOff>
      <xdr:row>95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78D9AF4-1890-B630-6458-FF4EDAEE2EE9}"/>
            </a:ext>
          </a:extLst>
        </xdr:cNvPr>
        <xdr:cNvCxnSpPr/>
      </xdr:nvCxnSpPr>
      <xdr:spPr>
        <a:xfrm>
          <a:off x="10287000" y="0"/>
          <a:ext cx="0" cy="141160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</xdr:colOff>
      <xdr:row>0</xdr:row>
      <xdr:rowOff>0</xdr:rowOff>
    </xdr:from>
    <xdr:to>
      <xdr:col>27</xdr:col>
      <xdr:colOff>28575</xdr:colOff>
      <xdr:row>100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0681E04-E377-4076-82A6-54584488A0E0}"/>
            </a:ext>
          </a:extLst>
        </xdr:cNvPr>
        <xdr:cNvCxnSpPr/>
      </xdr:nvCxnSpPr>
      <xdr:spPr>
        <a:xfrm>
          <a:off x="18345150" y="0"/>
          <a:ext cx="0" cy="162401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F5C4-F02D-404B-8FA6-7330295D0430}">
  <dimension ref="K3:M8"/>
  <sheetViews>
    <sheetView workbookViewId="0">
      <selection activeCell="L9" sqref="L9"/>
    </sheetView>
  </sheetViews>
  <sheetFormatPr defaultRowHeight="12.75" x14ac:dyDescent="0.2"/>
  <sheetData>
    <row r="3" spans="11:13" x14ac:dyDescent="0.2">
      <c r="K3" t="s">
        <v>26</v>
      </c>
      <c r="L3" s="4">
        <v>320</v>
      </c>
    </row>
    <row r="4" spans="11:13" x14ac:dyDescent="0.2">
      <c r="K4" t="s">
        <v>8</v>
      </c>
      <c r="L4" s="1">
        <v>74.470596</v>
      </c>
      <c r="M4" s="5" t="s">
        <v>84</v>
      </c>
    </row>
    <row r="5" spans="11:13" x14ac:dyDescent="0.2">
      <c r="K5" t="s">
        <v>27</v>
      </c>
      <c r="L5" s="1">
        <f>+L3*L4</f>
        <v>23830.59072</v>
      </c>
      <c r="M5" s="5"/>
    </row>
    <row r="6" spans="11:13" x14ac:dyDescent="0.2">
      <c r="K6" t="s">
        <v>28</v>
      </c>
      <c r="L6" s="1">
        <f>673.054+1629.038</f>
        <v>2302.0920000000001</v>
      </c>
      <c r="M6" s="5" t="s">
        <v>84</v>
      </c>
    </row>
    <row r="7" spans="11:13" x14ac:dyDescent="0.2">
      <c r="K7" t="s">
        <v>29</v>
      </c>
      <c r="L7" s="1">
        <v>1124.72</v>
      </c>
      <c r="M7" s="5" t="s">
        <v>84</v>
      </c>
    </row>
    <row r="8" spans="11:13" x14ac:dyDescent="0.2">
      <c r="K8" t="s">
        <v>30</v>
      </c>
      <c r="L8" s="1">
        <f>+L5-L6+L7</f>
        <v>22653.218720000001</v>
      </c>
      <c r="M8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C3A-4EC1-42D4-942A-CEAE7FB91B79}">
  <dimension ref="A1:EN80"/>
  <sheetViews>
    <sheetView tabSelected="1" zoomScaleNormal="100"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R21" sqref="AR21"/>
    </sheetView>
  </sheetViews>
  <sheetFormatPr defaultRowHeight="12.75" x14ac:dyDescent="0.2"/>
  <cols>
    <col min="1" max="1" width="18.7109375" style="1" bestFit="1" customWidth="1"/>
    <col min="2" max="43" width="9.140625" style="1"/>
    <col min="44" max="44" width="11.5703125" style="1" bestFit="1" customWidth="1"/>
    <col min="45" max="16384" width="9.140625" style="1"/>
  </cols>
  <sheetData>
    <row r="1" spans="1:43" s="9" customFormat="1" x14ac:dyDescent="0.2">
      <c r="B1" s="9">
        <v>45412</v>
      </c>
      <c r="C1" s="9">
        <v>45504</v>
      </c>
      <c r="D1" s="9">
        <v>45596</v>
      </c>
      <c r="E1" s="9">
        <v>45322</v>
      </c>
      <c r="F1" s="9">
        <v>45412</v>
      </c>
      <c r="G1" s="9">
        <v>45504</v>
      </c>
      <c r="H1" s="9">
        <v>45596</v>
      </c>
      <c r="I1" s="9">
        <v>45322</v>
      </c>
      <c r="J1" s="9">
        <v>45412</v>
      </c>
      <c r="K1" s="9">
        <v>45504</v>
      </c>
      <c r="L1" s="9">
        <v>45596</v>
      </c>
      <c r="M1" s="9">
        <v>45322</v>
      </c>
      <c r="N1" s="9">
        <v>45412</v>
      </c>
      <c r="O1" s="9">
        <v>45504</v>
      </c>
      <c r="P1" s="9">
        <v>45596</v>
      </c>
      <c r="Q1" s="9">
        <v>45322</v>
      </c>
    </row>
    <row r="2" spans="1:43" x14ac:dyDescent="0.2">
      <c r="A2" s="2"/>
      <c r="B2" s="2" t="s">
        <v>16</v>
      </c>
      <c r="C2" s="2" t="s">
        <v>14</v>
      </c>
      <c r="D2" s="2" t="s">
        <v>15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82</v>
      </c>
      <c r="O2" s="2" t="s">
        <v>83</v>
      </c>
      <c r="P2" s="2" t="s">
        <v>84</v>
      </c>
      <c r="Q2" s="2" t="s">
        <v>85</v>
      </c>
      <c r="S2">
        <v>2016</v>
      </c>
      <c r="T2">
        <f t="shared" ref="T2:AL2" si="0">+S2+1</f>
        <v>2017</v>
      </c>
      <c r="U2">
        <f t="shared" si="0"/>
        <v>2018</v>
      </c>
      <c r="V2">
        <f t="shared" si="0"/>
        <v>2019</v>
      </c>
      <c r="W2">
        <f t="shared" si="0"/>
        <v>2020</v>
      </c>
      <c r="X2">
        <f t="shared" si="0"/>
        <v>2021</v>
      </c>
      <c r="Y2">
        <f t="shared" si="0"/>
        <v>2022</v>
      </c>
      <c r="Z2">
        <f t="shared" si="0"/>
        <v>2023</v>
      </c>
      <c r="AA2">
        <f t="shared" si="0"/>
        <v>2024</v>
      </c>
      <c r="AB2">
        <f t="shared" si="0"/>
        <v>2025</v>
      </c>
      <c r="AC2">
        <f t="shared" si="0"/>
        <v>2026</v>
      </c>
      <c r="AD2">
        <f t="shared" si="0"/>
        <v>2027</v>
      </c>
      <c r="AE2">
        <f t="shared" si="0"/>
        <v>2028</v>
      </c>
      <c r="AF2">
        <f t="shared" si="0"/>
        <v>2029</v>
      </c>
      <c r="AG2">
        <f t="shared" si="0"/>
        <v>2030</v>
      </c>
      <c r="AH2">
        <f t="shared" si="0"/>
        <v>2031</v>
      </c>
      <c r="AI2">
        <f t="shared" si="0"/>
        <v>2032</v>
      </c>
      <c r="AJ2">
        <f t="shared" si="0"/>
        <v>2033</v>
      </c>
      <c r="AK2">
        <f t="shared" si="0"/>
        <v>2034</v>
      </c>
      <c r="AL2">
        <f t="shared" si="0"/>
        <v>2035</v>
      </c>
      <c r="AM2">
        <f t="shared" ref="AM2" si="1">+AL2+1</f>
        <v>2036</v>
      </c>
      <c r="AN2">
        <f t="shared" ref="AN2" si="2">+AM2+1</f>
        <v>2037</v>
      </c>
      <c r="AO2">
        <f t="shared" ref="AO2" si="3">+AN2+1</f>
        <v>2038</v>
      </c>
      <c r="AP2">
        <f t="shared" ref="AP2" si="4">+AO2+1</f>
        <v>2039</v>
      </c>
      <c r="AQ2">
        <f t="shared" ref="AQ2" si="5">+AP2+1</f>
        <v>2040</v>
      </c>
    </row>
    <row r="3" spans="1:43" s="2" customFormat="1" x14ac:dyDescent="0.2">
      <c r="A3" s="6" t="s">
        <v>31</v>
      </c>
      <c r="B3" s="2">
        <v>174.57</v>
      </c>
      <c r="C3" s="2">
        <v>191.381</v>
      </c>
      <c r="D3" s="2">
        <v>217.87100000000001</v>
      </c>
      <c r="E3" s="2">
        <v>258.22500000000002</v>
      </c>
      <c r="F3" s="2">
        <v>274.58100000000002</v>
      </c>
      <c r="G3" s="2">
        <v>291.60700000000003</v>
      </c>
      <c r="H3" s="2">
        <v>320.75599999999997</v>
      </c>
      <c r="I3" s="2">
        <v>348.178</v>
      </c>
      <c r="J3" s="2">
        <v>354.714</v>
      </c>
      <c r="K3" s="2">
        <v>409.334</v>
      </c>
      <c r="L3" s="2">
        <v>418.339</v>
      </c>
      <c r="M3" s="2">
        <v>444.93900000000002</v>
      </c>
      <c r="N3" s="2">
        <v>436.89600000000002</v>
      </c>
      <c r="O3" s="2">
        <v>463.80500000000001</v>
      </c>
      <c r="P3" s="2">
        <v>512.20500000000004</v>
      </c>
      <c r="S3" s="2">
        <v>58.561</v>
      </c>
      <c r="T3" s="2">
        <v>91.234999999999999</v>
      </c>
      <c r="U3" s="2">
        <v>141.49</v>
      </c>
      <c r="V3" s="2">
        <v>248.39099999999999</v>
      </c>
      <c r="W3" s="2">
        <v>399.82600000000002</v>
      </c>
      <c r="X3" s="2">
        <v>565.34900000000005</v>
      </c>
      <c r="Y3" s="2">
        <v>842.04700000000003</v>
      </c>
      <c r="Z3" s="2">
        <v>1235.1220000000001</v>
      </c>
      <c r="AA3" s="2">
        <v>1627.326</v>
      </c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43" s="2" customFormat="1" x14ac:dyDescent="0.2">
      <c r="A4" s="6" t="s">
        <v>32</v>
      </c>
      <c r="B4" s="2">
        <v>7.0780000000000003</v>
      </c>
      <c r="C4" s="2">
        <v>7.3659999999999997</v>
      </c>
      <c r="D4" s="2">
        <v>9.0220000000000002</v>
      </c>
      <c r="E4" s="2">
        <v>8.2690000000000001</v>
      </c>
      <c r="F4" s="2">
        <v>10.866</v>
      </c>
      <c r="G4" s="2">
        <v>12.053000000000001</v>
      </c>
      <c r="H4" s="2">
        <v>12.865</v>
      </c>
      <c r="I4" s="2">
        <v>13.134</v>
      </c>
      <c r="J4" s="2">
        <v>13.566000000000001</v>
      </c>
      <c r="K4" s="2">
        <v>14.457000000000001</v>
      </c>
      <c r="L4" s="2">
        <v>14.599</v>
      </c>
      <c r="M4" s="2">
        <v>13.063000000000001</v>
      </c>
      <c r="N4" s="2">
        <v>13.664999999999999</v>
      </c>
      <c r="O4" s="2">
        <v>14.304</v>
      </c>
      <c r="P4" s="2">
        <v>17.170000000000002</v>
      </c>
      <c r="S4" s="2">
        <v>6.71</v>
      </c>
      <c r="T4" s="2">
        <v>10.122999999999999</v>
      </c>
      <c r="U4" s="2">
        <v>13.029</v>
      </c>
      <c r="V4" s="2">
        <v>18.625</v>
      </c>
      <c r="W4" s="2">
        <v>21.889399999999998</v>
      </c>
      <c r="X4" s="2">
        <v>25.030999999999999</v>
      </c>
      <c r="Y4" s="2">
        <v>31.734999999999999</v>
      </c>
      <c r="Z4" s="2">
        <v>48.917999999999999</v>
      </c>
      <c r="AA4" s="2">
        <v>55.685000000000002</v>
      </c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43" s="8" customFormat="1" x14ac:dyDescent="0.2">
      <c r="A5" s="8" t="s">
        <v>0</v>
      </c>
      <c r="B5" s="8">
        <f t="shared" ref="B5:P5" si="6">+B3+B4</f>
        <v>181.648</v>
      </c>
      <c r="C5" s="8">
        <f t="shared" si="6"/>
        <v>198.74700000000001</v>
      </c>
      <c r="D5" s="8">
        <f t="shared" si="6"/>
        <v>226.893</v>
      </c>
      <c r="E5" s="8">
        <f t="shared" si="6"/>
        <v>266.49400000000003</v>
      </c>
      <c r="F5" s="8">
        <f t="shared" si="6"/>
        <v>285.447</v>
      </c>
      <c r="G5" s="8">
        <f t="shared" si="6"/>
        <v>303.66000000000003</v>
      </c>
      <c r="H5" s="8">
        <f t="shared" si="6"/>
        <v>333.62099999999998</v>
      </c>
      <c r="I5" s="8">
        <f t="shared" si="6"/>
        <v>361.31200000000001</v>
      </c>
      <c r="J5" s="8">
        <f t="shared" si="6"/>
        <v>368.28</v>
      </c>
      <c r="K5" s="8">
        <f t="shared" si="6"/>
        <v>423.791</v>
      </c>
      <c r="L5" s="8">
        <f t="shared" si="6"/>
        <v>432.93799999999999</v>
      </c>
      <c r="M5" s="8">
        <f t="shared" si="6"/>
        <v>458.00200000000001</v>
      </c>
      <c r="N5" s="8">
        <f t="shared" si="6"/>
        <v>450.56100000000004</v>
      </c>
      <c r="O5" s="8">
        <f t="shared" si="6"/>
        <v>478.10899999999998</v>
      </c>
      <c r="P5" s="8">
        <f t="shared" si="6"/>
        <v>529.375</v>
      </c>
      <c r="Q5" s="10">
        <v>519</v>
      </c>
      <c r="S5" s="8">
        <f t="shared" ref="S5:AA5" si="7">+S3+S4</f>
        <v>65.271000000000001</v>
      </c>
      <c r="T5" s="8">
        <f t="shared" si="7"/>
        <v>101.358</v>
      </c>
      <c r="U5" s="8">
        <f t="shared" si="7"/>
        <v>154.51900000000001</v>
      </c>
      <c r="V5" s="8">
        <f t="shared" si="7"/>
        <v>267.01599999999996</v>
      </c>
      <c r="W5" s="8">
        <f t="shared" si="7"/>
        <v>421.71540000000005</v>
      </c>
      <c r="X5" s="8">
        <f t="shared" si="7"/>
        <v>590.38</v>
      </c>
      <c r="Y5" s="8">
        <f t="shared" si="7"/>
        <v>873.78200000000004</v>
      </c>
      <c r="Z5" s="8">
        <f t="shared" si="7"/>
        <v>1284.04</v>
      </c>
      <c r="AA5" s="8">
        <f t="shared" si="7"/>
        <v>1683.011</v>
      </c>
      <c r="AB5" s="8">
        <f>+SUM(N5:Q5)</f>
        <v>1977.0450000000001</v>
      </c>
      <c r="AC5" s="8">
        <f>+AB5*1.3</f>
        <v>2570.1585</v>
      </c>
      <c r="AD5" s="8">
        <f t="shared" ref="AD5:AQ5" si="8">+AC5*1.3</f>
        <v>3341.2060500000002</v>
      </c>
      <c r="AE5" s="8">
        <f t="shared" si="8"/>
        <v>4343.5678650000009</v>
      </c>
      <c r="AF5" s="8">
        <f t="shared" si="8"/>
        <v>5646.6382245000013</v>
      </c>
      <c r="AG5" s="8">
        <f t="shared" si="8"/>
        <v>7340.629691850002</v>
      </c>
      <c r="AH5" s="8">
        <f t="shared" si="8"/>
        <v>9542.8185994050036</v>
      </c>
      <c r="AI5" s="8">
        <f t="shared" si="8"/>
        <v>12405.664179226505</v>
      </c>
      <c r="AJ5" s="8">
        <f t="shared" si="8"/>
        <v>16127.363432994458</v>
      </c>
      <c r="AK5" s="8">
        <f t="shared" si="8"/>
        <v>20965.572462892796</v>
      </c>
      <c r="AL5" s="8">
        <f t="shared" si="8"/>
        <v>27255.244201760637</v>
      </c>
      <c r="AM5" s="8">
        <f t="shared" si="8"/>
        <v>35431.817462288833</v>
      </c>
      <c r="AN5" s="8">
        <f t="shared" si="8"/>
        <v>46061.362700975485</v>
      </c>
      <c r="AO5" s="8">
        <f t="shared" si="8"/>
        <v>59879.771511268133</v>
      </c>
      <c r="AP5" s="8">
        <f t="shared" si="8"/>
        <v>77843.702964648575</v>
      </c>
      <c r="AQ5" s="8">
        <f t="shared" si="8"/>
        <v>101196.81385404315</v>
      </c>
    </row>
    <row r="6" spans="1:43" x14ac:dyDescent="0.2">
      <c r="A6" s="1" t="s">
        <v>33</v>
      </c>
      <c r="B6" s="1">
        <v>45.101999999999997</v>
      </c>
      <c r="C6" s="1">
        <v>50.954999999999998</v>
      </c>
      <c r="D6" s="1">
        <v>57.378</v>
      </c>
      <c r="E6" s="1">
        <v>64.165999999999997</v>
      </c>
      <c r="F6" s="1">
        <v>64.569000000000003</v>
      </c>
      <c r="G6" s="1">
        <v>71.435000000000002</v>
      </c>
      <c r="H6" s="1">
        <v>77.150000000000006</v>
      </c>
      <c r="I6" s="1">
        <v>71.427999999999997</v>
      </c>
      <c r="J6" s="1">
        <v>78.173000000000002</v>
      </c>
      <c r="K6" s="1">
        <v>84.822000000000003</v>
      </c>
      <c r="L6" s="1">
        <v>87.953999999999994</v>
      </c>
      <c r="M6" s="1">
        <v>94.284000000000006</v>
      </c>
      <c r="N6" s="1">
        <v>100.762</v>
      </c>
      <c r="O6" s="1">
        <v>106.816</v>
      </c>
      <c r="P6" s="1">
        <v>111.15</v>
      </c>
      <c r="S6" s="1">
        <v>13.146000000000001</v>
      </c>
      <c r="T6" s="1">
        <v>19.352</v>
      </c>
      <c r="U6" s="1">
        <v>30.765999999999998</v>
      </c>
      <c r="V6" s="1">
        <v>56.255000000000003</v>
      </c>
      <c r="W6" s="1">
        <v>101.691</v>
      </c>
      <c r="X6" s="1">
        <v>145.28</v>
      </c>
      <c r="Y6" s="1">
        <v>217.90100000000001</v>
      </c>
      <c r="Z6" s="1">
        <v>284.58300000000003</v>
      </c>
      <c r="AA6" s="1">
        <v>345.233</v>
      </c>
      <c r="AB6" s="1">
        <f>+AA6*1.3</f>
        <v>448.80290000000002</v>
      </c>
      <c r="AC6" s="1">
        <f t="shared" ref="AC6:AQ6" si="9">+AB6*1.3</f>
        <v>583.44377000000009</v>
      </c>
      <c r="AD6" s="1">
        <f t="shared" si="9"/>
        <v>758.47690100000011</v>
      </c>
      <c r="AE6" s="1">
        <f t="shared" si="9"/>
        <v>986.01997130000018</v>
      </c>
      <c r="AF6" s="1">
        <f t="shared" si="9"/>
        <v>1281.8259626900003</v>
      </c>
      <c r="AG6" s="1">
        <f t="shared" si="9"/>
        <v>1666.3737514970005</v>
      </c>
      <c r="AH6" s="1">
        <f t="shared" si="9"/>
        <v>2166.2858769461009</v>
      </c>
      <c r="AI6" s="1">
        <f t="shared" si="9"/>
        <v>2816.171640029931</v>
      </c>
      <c r="AJ6" s="1">
        <f t="shared" si="9"/>
        <v>3661.0231320389103</v>
      </c>
      <c r="AK6" s="1">
        <f t="shared" si="9"/>
        <v>4759.3300716505837</v>
      </c>
      <c r="AL6" s="1">
        <f t="shared" si="9"/>
        <v>6187.1290931457588</v>
      </c>
      <c r="AM6" s="1">
        <f t="shared" si="9"/>
        <v>8043.2678210894865</v>
      </c>
      <c r="AN6" s="1">
        <f t="shared" si="9"/>
        <v>10456.248167416332</v>
      </c>
      <c r="AO6" s="1">
        <f t="shared" si="9"/>
        <v>13593.122617641231</v>
      </c>
      <c r="AP6" s="1">
        <f t="shared" si="9"/>
        <v>17671.059402933603</v>
      </c>
      <c r="AQ6" s="1">
        <f t="shared" si="9"/>
        <v>22972.377223813684</v>
      </c>
    </row>
    <row r="7" spans="1:43" x14ac:dyDescent="0.2">
      <c r="A7" s="1" t="s">
        <v>34</v>
      </c>
      <c r="B7" s="1">
        <v>9.1259999999999994</v>
      </c>
      <c r="C7" s="1">
        <v>9.7469999999999999</v>
      </c>
      <c r="D7" s="1">
        <v>11.086</v>
      </c>
      <c r="E7" s="1">
        <v>11.632</v>
      </c>
      <c r="F7" s="1">
        <v>13.646000000000001</v>
      </c>
      <c r="G7" s="1">
        <v>16.841999999999999</v>
      </c>
      <c r="H7" s="1">
        <v>16.501999999999999</v>
      </c>
      <c r="I7" s="1">
        <v>17.731000000000002</v>
      </c>
      <c r="J7" s="1">
        <v>19.276</v>
      </c>
      <c r="K7" s="1">
        <v>20.515000000000001</v>
      </c>
      <c r="L7" s="1">
        <v>19.103999999999999</v>
      </c>
      <c r="M7" s="1">
        <v>20.356999999999999</v>
      </c>
      <c r="N7" s="1">
        <v>21.934999999999999</v>
      </c>
      <c r="O7" s="1">
        <v>21.437000000000001</v>
      </c>
      <c r="P7" s="1">
        <v>24.181000000000001</v>
      </c>
      <c r="S7" s="1">
        <v>7.7149999999999999</v>
      </c>
      <c r="T7" s="1">
        <v>10.515000000000001</v>
      </c>
      <c r="U7" s="1">
        <v>12.093</v>
      </c>
      <c r="V7" s="1">
        <v>17.312999999999999</v>
      </c>
      <c r="W7" s="1">
        <v>23.664999999999999</v>
      </c>
      <c r="X7" s="1">
        <v>31.795999999999999</v>
      </c>
      <c r="Y7" s="1">
        <v>41.591000000000001</v>
      </c>
      <c r="Z7" s="1">
        <v>64.721000000000004</v>
      </c>
      <c r="AA7" s="1">
        <v>79.251999999999995</v>
      </c>
      <c r="AB7" s="1">
        <f>+AA7*1.3</f>
        <v>103.02759999999999</v>
      </c>
      <c r="AC7" s="1">
        <f t="shared" ref="AC7:AQ7" si="10">+AB7*1.3</f>
        <v>133.93588</v>
      </c>
      <c r="AD7" s="1">
        <f t="shared" si="10"/>
        <v>174.11664400000001</v>
      </c>
      <c r="AE7" s="1">
        <f t="shared" si="10"/>
        <v>226.35163720000003</v>
      </c>
      <c r="AF7" s="1">
        <f t="shared" si="10"/>
        <v>294.25712836000002</v>
      </c>
      <c r="AG7" s="1">
        <f t="shared" si="10"/>
        <v>382.53426686800003</v>
      </c>
      <c r="AH7" s="1">
        <f t="shared" si="10"/>
        <v>497.29454692840005</v>
      </c>
      <c r="AI7" s="1">
        <f t="shared" si="10"/>
        <v>646.48291100692006</v>
      </c>
      <c r="AJ7" s="1">
        <f t="shared" si="10"/>
        <v>840.42778430899614</v>
      </c>
      <c r="AK7" s="1">
        <f t="shared" si="10"/>
        <v>1092.5561196016949</v>
      </c>
      <c r="AL7" s="1">
        <f t="shared" si="10"/>
        <v>1420.3229554822035</v>
      </c>
      <c r="AM7" s="1">
        <f t="shared" si="10"/>
        <v>1846.4198421268645</v>
      </c>
      <c r="AN7" s="1">
        <f t="shared" si="10"/>
        <v>2400.345794764924</v>
      </c>
      <c r="AO7" s="1">
        <f t="shared" si="10"/>
        <v>3120.4495331944013</v>
      </c>
      <c r="AP7" s="1">
        <f t="shared" si="10"/>
        <v>4056.584393152722</v>
      </c>
      <c r="AQ7" s="1">
        <f t="shared" si="10"/>
        <v>5273.5597110985391</v>
      </c>
    </row>
    <row r="8" spans="1:43" x14ac:dyDescent="0.2">
      <c r="A8" s="1" t="s">
        <v>1</v>
      </c>
      <c r="B8" s="1">
        <f t="shared" ref="B8:P8" si="11">+B6+B7</f>
        <v>54.227999999999994</v>
      </c>
      <c r="C8" s="1">
        <f t="shared" si="11"/>
        <v>60.701999999999998</v>
      </c>
      <c r="D8" s="1">
        <f t="shared" si="11"/>
        <v>68.463999999999999</v>
      </c>
      <c r="E8" s="1">
        <f t="shared" si="11"/>
        <v>75.798000000000002</v>
      </c>
      <c r="F8" s="1">
        <f t="shared" si="11"/>
        <v>78.215000000000003</v>
      </c>
      <c r="G8" s="1">
        <f t="shared" si="11"/>
        <v>88.277000000000001</v>
      </c>
      <c r="H8" s="1">
        <f t="shared" si="11"/>
        <v>93.652000000000001</v>
      </c>
      <c r="I8" s="1">
        <f t="shared" si="11"/>
        <v>89.158999999999992</v>
      </c>
      <c r="J8" s="1">
        <f t="shared" si="11"/>
        <v>97.448999999999998</v>
      </c>
      <c r="K8" s="1">
        <f t="shared" si="11"/>
        <v>105.337</v>
      </c>
      <c r="L8" s="1">
        <f t="shared" si="11"/>
        <v>107.05799999999999</v>
      </c>
      <c r="M8" s="1">
        <f t="shared" si="11"/>
        <v>114.64100000000001</v>
      </c>
      <c r="N8" s="1">
        <f t="shared" si="11"/>
        <v>122.697</v>
      </c>
      <c r="O8" s="1">
        <f t="shared" si="11"/>
        <v>128.25300000000001</v>
      </c>
      <c r="P8" s="1">
        <f t="shared" si="11"/>
        <v>135.33100000000002</v>
      </c>
      <c r="S8" s="1">
        <f t="shared" ref="S8:AB8" si="12">+S6+S7</f>
        <v>20.861000000000001</v>
      </c>
      <c r="T8" s="1">
        <f t="shared" si="12"/>
        <v>29.867000000000001</v>
      </c>
      <c r="U8" s="1">
        <f t="shared" si="12"/>
        <v>42.858999999999995</v>
      </c>
      <c r="V8" s="1">
        <f t="shared" si="12"/>
        <v>73.567999999999998</v>
      </c>
      <c r="W8" s="1">
        <f t="shared" si="12"/>
        <v>125.35599999999999</v>
      </c>
      <c r="X8" s="1">
        <f t="shared" si="12"/>
        <v>177.07599999999999</v>
      </c>
      <c r="Y8" s="1">
        <f t="shared" si="12"/>
        <v>259.49200000000002</v>
      </c>
      <c r="Z8" s="1">
        <f t="shared" si="12"/>
        <v>349.30400000000003</v>
      </c>
      <c r="AA8" s="1">
        <f t="shared" si="12"/>
        <v>424.48500000000001</v>
      </c>
      <c r="AB8" s="1">
        <f t="shared" si="12"/>
        <v>551.83050000000003</v>
      </c>
      <c r="AC8" s="1">
        <f t="shared" ref="AC8" si="13">+AC6+AC7</f>
        <v>717.37965000000008</v>
      </c>
      <c r="AD8" s="1">
        <f t="shared" ref="AD8" si="14">+AD6+AD7</f>
        <v>932.59354500000018</v>
      </c>
      <c r="AE8" s="1">
        <f t="shared" ref="AE8" si="15">+AE6+AE7</f>
        <v>1212.3716085000001</v>
      </c>
      <c r="AF8" s="1">
        <f t="shared" ref="AF8" si="16">+AF6+AF7</f>
        <v>1576.0830910500003</v>
      </c>
      <c r="AG8" s="1">
        <f t="shared" ref="AG8" si="17">+AG6+AG7</f>
        <v>2048.9080183650003</v>
      </c>
      <c r="AH8" s="1">
        <f t="shared" ref="AH8" si="18">+AH6+AH7</f>
        <v>2663.5804238745009</v>
      </c>
      <c r="AI8" s="1">
        <f t="shared" ref="AI8" si="19">+AI6+AI7</f>
        <v>3462.654551036851</v>
      </c>
      <c r="AJ8" s="1">
        <f t="shared" ref="AJ8" si="20">+AJ6+AJ7</f>
        <v>4501.4509163479061</v>
      </c>
      <c r="AK8" s="1">
        <f t="shared" ref="AK8" si="21">+AK6+AK7</f>
        <v>5851.8861912522789</v>
      </c>
      <c r="AL8" s="1">
        <f t="shared" ref="AL8" si="22">+AL6+AL7</f>
        <v>7607.4520486279625</v>
      </c>
      <c r="AM8" s="1">
        <f t="shared" ref="AM8" si="23">+AM6+AM7</f>
        <v>9889.6876632163512</v>
      </c>
      <c r="AN8" s="1">
        <f t="shared" ref="AN8" si="24">+AN6+AN7</f>
        <v>12856.593962181256</v>
      </c>
      <c r="AO8" s="1">
        <f t="shared" ref="AO8" si="25">+AO6+AO7</f>
        <v>16713.572150835633</v>
      </c>
      <c r="AP8" s="1">
        <f t="shared" ref="AP8" si="26">+AP6+AP7</f>
        <v>21727.643796086326</v>
      </c>
      <c r="AQ8" s="1">
        <f t="shared" ref="AQ8" si="27">+AQ6+AQ7</f>
        <v>28245.936934912224</v>
      </c>
    </row>
    <row r="9" spans="1:43" s="8" customFormat="1" x14ac:dyDescent="0.2">
      <c r="A9" s="8" t="s">
        <v>2</v>
      </c>
      <c r="B9" s="8">
        <f t="shared" ref="B9:P9" si="28">+B5-B8</f>
        <v>127.42</v>
      </c>
      <c r="C9" s="8">
        <f t="shared" si="28"/>
        <v>138.04500000000002</v>
      </c>
      <c r="D9" s="8">
        <f t="shared" si="28"/>
        <v>158.429</v>
      </c>
      <c r="E9" s="8">
        <f t="shared" si="28"/>
        <v>190.69600000000003</v>
      </c>
      <c r="F9" s="8">
        <f t="shared" si="28"/>
        <v>207.232</v>
      </c>
      <c r="G9" s="8">
        <f t="shared" si="28"/>
        <v>215.38300000000004</v>
      </c>
      <c r="H9" s="8">
        <f t="shared" si="28"/>
        <v>239.96899999999999</v>
      </c>
      <c r="I9" s="8">
        <f t="shared" si="28"/>
        <v>272.15300000000002</v>
      </c>
      <c r="J9" s="8">
        <f t="shared" si="28"/>
        <v>270.83099999999996</v>
      </c>
      <c r="K9" s="8">
        <f t="shared" si="28"/>
        <v>318.45400000000001</v>
      </c>
      <c r="L9" s="8">
        <f t="shared" si="28"/>
        <v>325.88</v>
      </c>
      <c r="M9" s="8">
        <f t="shared" si="28"/>
        <v>343.36099999999999</v>
      </c>
      <c r="N9" s="8">
        <f t="shared" si="28"/>
        <v>327.86400000000003</v>
      </c>
      <c r="O9" s="8">
        <f t="shared" si="28"/>
        <v>349.85599999999999</v>
      </c>
      <c r="P9" s="8">
        <f t="shared" si="28"/>
        <v>394.04399999999998</v>
      </c>
      <c r="S9" s="8">
        <f t="shared" ref="S9:AB9" si="29">+S5-S8</f>
        <v>44.41</v>
      </c>
      <c r="T9" s="8">
        <f t="shared" si="29"/>
        <v>71.491</v>
      </c>
      <c r="U9" s="8">
        <f t="shared" si="29"/>
        <v>111.66000000000001</v>
      </c>
      <c r="V9" s="8">
        <f t="shared" si="29"/>
        <v>193.44799999999998</v>
      </c>
      <c r="W9" s="8">
        <f t="shared" si="29"/>
        <v>296.35940000000005</v>
      </c>
      <c r="X9" s="8">
        <f t="shared" si="29"/>
        <v>413.30399999999997</v>
      </c>
      <c r="Y9" s="8">
        <f t="shared" si="29"/>
        <v>614.29</v>
      </c>
      <c r="Z9" s="8">
        <f t="shared" si="29"/>
        <v>934.73599999999988</v>
      </c>
      <c r="AA9" s="8">
        <f t="shared" si="29"/>
        <v>1258.5259999999998</v>
      </c>
      <c r="AB9" s="8">
        <f t="shared" si="29"/>
        <v>1425.2145</v>
      </c>
      <c r="AC9" s="8">
        <f t="shared" ref="AC9" si="30">+AC5-AC8</f>
        <v>1852.7788499999999</v>
      </c>
      <c r="AD9" s="8">
        <f t="shared" ref="AD9" si="31">+AD5-AD8</f>
        <v>2408.6125050000001</v>
      </c>
      <c r="AE9" s="8">
        <f t="shared" ref="AE9" si="32">+AE5-AE8</f>
        <v>3131.1962565000008</v>
      </c>
      <c r="AF9" s="8">
        <f t="shared" ref="AF9" si="33">+AF5-AF8</f>
        <v>4070.555133450001</v>
      </c>
      <c r="AG9" s="8">
        <f t="shared" ref="AG9" si="34">+AG5-AG8</f>
        <v>5291.7216734850017</v>
      </c>
      <c r="AH9" s="8">
        <f t="shared" ref="AH9" si="35">+AH5-AH8</f>
        <v>6879.2381755305032</v>
      </c>
      <c r="AI9" s="8">
        <f t="shared" ref="AI9" si="36">+AI5-AI8</f>
        <v>8943.0096281896549</v>
      </c>
      <c r="AJ9" s="8">
        <f t="shared" ref="AJ9" si="37">+AJ5-AJ8</f>
        <v>11625.912516646553</v>
      </c>
      <c r="AK9" s="8">
        <f t="shared" ref="AK9" si="38">+AK5-AK8</f>
        <v>15113.686271640518</v>
      </c>
      <c r="AL9" s="8">
        <f t="shared" ref="AL9" si="39">+AL5-AL8</f>
        <v>19647.792153132676</v>
      </c>
      <c r="AM9" s="8">
        <f t="shared" ref="AM9" si="40">+AM5-AM8</f>
        <v>25542.129799072482</v>
      </c>
      <c r="AN9" s="8">
        <f t="shared" ref="AN9" si="41">+AN5-AN8</f>
        <v>33204.768738794228</v>
      </c>
      <c r="AO9" s="8">
        <f t="shared" ref="AO9" si="42">+AO5-AO8</f>
        <v>43166.199360432496</v>
      </c>
      <c r="AP9" s="8">
        <f t="shared" ref="AP9" si="43">+AP5-AP8</f>
        <v>56116.059168562249</v>
      </c>
      <c r="AQ9" s="8">
        <f t="shared" ref="AQ9" si="44">+AQ5-AQ8</f>
        <v>72950.876919130926</v>
      </c>
    </row>
    <row r="10" spans="1:43" x14ac:dyDescent="0.2">
      <c r="A10" s="1" t="s">
        <v>35</v>
      </c>
      <c r="B10" s="1">
        <v>97.89</v>
      </c>
      <c r="C10" s="1">
        <v>109.377</v>
      </c>
      <c r="D10" s="1">
        <v>120.36</v>
      </c>
      <c r="E10" s="1">
        <v>144.26300000000001</v>
      </c>
      <c r="F10" s="1">
        <v>150.268</v>
      </c>
      <c r="G10" s="1">
        <v>181.59800000000001</v>
      </c>
      <c r="H10" s="1">
        <v>177.41900000000001</v>
      </c>
      <c r="I10" s="1">
        <v>189.916</v>
      </c>
      <c r="J10" s="1">
        <v>182.733</v>
      </c>
      <c r="K10" s="1">
        <v>195.934</v>
      </c>
      <c r="L10" s="1">
        <v>192.977</v>
      </c>
      <c r="M10" s="1">
        <v>211.11600000000001</v>
      </c>
      <c r="N10" s="1">
        <v>219.44399999999999</v>
      </c>
      <c r="O10" s="1">
        <v>221.53899999999999</v>
      </c>
      <c r="P10" s="1">
        <v>217.95400000000001</v>
      </c>
      <c r="S10" s="1">
        <v>56.613</v>
      </c>
      <c r="T10" s="1">
        <v>78.584000000000003</v>
      </c>
      <c r="U10" s="1">
        <v>109.95</v>
      </c>
      <c r="V10" s="1">
        <v>148.29599999999999</v>
      </c>
      <c r="W10" s="1">
        <v>223.893</v>
      </c>
      <c r="X10" s="1">
        <v>325.10000000000002</v>
      </c>
      <c r="Y10" s="1">
        <v>471.89</v>
      </c>
      <c r="Z10" s="1">
        <v>699.20100000000002</v>
      </c>
      <c r="AA10" s="1">
        <v>782.76</v>
      </c>
      <c r="AB10" s="1">
        <f>+AB5*0.45</f>
        <v>889.67025000000001</v>
      </c>
      <c r="AC10" s="1">
        <f t="shared" ref="AC10:AQ10" si="45">+AC5*0.45</f>
        <v>1156.5713250000001</v>
      </c>
      <c r="AD10" s="1">
        <f t="shared" si="45"/>
        <v>1503.5427225000001</v>
      </c>
      <c r="AE10" s="1">
        <f t="shared" si="45"/>
        <v>1954.6055392500004</v>
      </c>
      <c r="AF10" s="1">
        <f t="shared" si="45"/>
        <v>2540.9872010250006</v>
      </c>
      <c r="AG10" s="1">
        <f t="shared" si="45"/>
        <v>3303.283361332501</v>
      </c>
      <c r="AH10" s="1">
        <f t="shared" si="45"/>
        <v>4294.2683697322518</v>
      </c>
      <c r="AI10" s="1">
        <f t="shared" si="45"/>
        <v>5582.5488806519279</v>
      </c>
      <c r="AJ10" s="1">
        <f t="shared" si="45"/>
        <v>7257.3135448475059</v>
      </c>
      <c r="AK10" s="1">
        <f t="shared" si="45"/>
        <v>9434.5076083017593</v>
      </c>
      <c r="AL10" s="1">
        <f t="shared" si="45"/>
        <v>12264.859890792288</v>
      </c>
      <c r="AM10" s="1">
        <f t="shared" si="45"/>
        <v>15944.317858029975</v>
      </c>
      <c r="AN10" s="1">
        <f t="shared" si="45"/>
        <v>20727.613215438971</v>
      </c>
      <c r="AO10" s="1">
        <f t="shared" si="45"/>
        <v>26945.89718007066</v>
      </c>
      <c r="AP10" s="1">
        <f t="shared" si="45"/>
        <v>35029.66633409186</v>
      </c>
      <c r="AQ10" s="1">
        <f t="shared" si="45"/>
        <v>45538.56623431942</v>
      </c>
    </row>
    <row r="11" spans="1:43" x14ac:dyDescent="0.2">
      <c r="A11" s="1" t="s">
        <v>3</v>
      </c>
      <c r="B11" s="1">
        <v>64.751000000000005</v>
      </c>
      <c r="C11" s="1">
        <v>72.396000000000001</v>
      </c>
      <c r="D11" s="1">
        <v>82.256</v>
      </c>
      <c r="E11" s="1">
        <v>89.417000000000002</v>
      </c>
      <c r="F11" s="1">
        <v>96.372</v>
      </c>
      <c r="G11" s="1">
        <v>108.03700000000001</v>
      </c>
      <c r="H11" s="1">
        <v>106.392</v>
      </c>
      <c r="I11" s="1">
        <v>110.89100000000001</v>
      </c>
      <c r="J11" s="1">
        <v>116.81699999999999</v>
      </c>
      <c r="K11" s="1">
        <v>125.42</v>
      </c>
      <c r="L11" s="1">
        <v>128.15</v>
      </c>
      <c r="M11" s="1">
        <v>145.553</v>
      </c>
      <c r="N11" s="1">
        <v>146.06</v>
      </c>
      <c r="O11" s="1">
        <v>148.96700000000001</v>
      </c>
      <c r="P11" s="1">
        <v>151.41</v>
      </c>
      <c r="S11" s="1">
        <v>43.465000000000003</v>
      </c>
      <c r="T11" s="1">
        <v>51.771999999999998</v>
      </c>
      <c r="U11" s="1">
        <v>62.201999999999998</v>
      </c>
      <c r="V11" s="1">
        <v>89.853999999999999</v>
      </c>
      <c r="W11" s="1">
        <v>149.03299999999999</v>
      </c>
      <c r="X11" s="1">
        <v>205.161</v>
      </c>
      <c r="Y11" s="1">
        <v>308.82</v>
      </c>
      <c r="Z11" s="1">
        <v>421.69200000000001</v>
      </c>
      <c r="AA11" s="1">
        <v>515.94000000000005</v>
      </c>
      <c r="AB11" s="1">
        <f>+AB5*0.3</f>
        <v>593.11350000000004</v>
      </c>
      <c r="AC11" s="1">
        <f t="shared" ref="AC11:AQ11" si="46">+AC5*0.3</f>
        <v>771.04755</v>
      </c>
      <c r="AD11" s="1">
        <f t="shared" si="46"/>
        <v>1002.361815</v>
      </c>
      <c r="AE11" s="1">
        <f t="shared" si="46"/>
        <v>1303.0703595000002</v>
      </c>
      <c r="AF11" s="1">
        <f t="shared" si="46"/>
        <v>1693.9914673500004</v>
      </c>
      <c r="AG11" s="1">
        <f t="shared" si="46"/>
        <v>2202.1889075550007</v>
      </c>
      <c r="AH11" s="1">
        <f t="shared" si="46"/>
        <v>2862.8455798215009</v>
      </c>
      <c r="AI11" s="1">
        <f t="shared" si="46"/>
        <v>3721.6992537679516</v>
      </c>
      <c r="AJ11" s="1">
        <f t="shared" si="46"/>
        <v>4838.2090298983376</v>
      </c>
      <c r="AK11" s="1">
        <f t="shared" si="46"/>
        <v>6289.6717388678389</v>
      </c>
      <c r="AL11" s="1">
        <f t="shared" si="46"/>
        <v>8176.573260528191</v>
      </c>
      <c r="AM11" s="1">
        <f t="shared" si="46"/>
        <v>10629.545238686649</v>
      </c>
      <c r="AN11" s="1">
        <f t="shared" si="46"/>
        <v>13818.408810292645</v>
      </c>
      <c r="AO11" s="1">
        <f t="shared" si="46"/>
        <v>17963.931453380439</v>
      </c>
      <c r="AP11" s="1">
        <f t="shared" si="46"/>
        <v>23353.110889394571</v>
      </c>
      <c r="AQ11" s="1">
        <f t="shared" si="46"/>
        <v>30359.044156212945</v>
      </c>
    </row>
    <row r="12" spans="1:43" x14ac:dyDescent="0.2">
      <c r="A12" s="1" t="s">
        <v>36</v>
      </c>
      <c r="B12" s="1">
        <v>25.925000000000001</v>
      </c>
      <c r="C12" s="1">
        <v>28.803000000000001</v>
      </c>
      <c r="D12" s="1">
        <v>32.581000000000003</v>
      </c>
      <c r="E12" s="1">
        <v>35.634999999999998</v>
      </c>
      <c r="F12" s="1">
        <v>36.531999999999996</v>
      </c>
      <c r="G12" s="1">
        <v>40.591000000000001</v>
      </c>
      <c r="H12" s="1">
        <v>39.081000000000003</v>
      </c>
      <c r="I12" s="1">
        <v>44.293999999999997</v>
      </c>
      <c r="J12" s="1">
        <v>39.828000000000003</v>
      </c>
      <c r="K12" s="1">
        <v>46.103000000000002</v>
      </c>
      <c r="L12" s="1">
        <v>49.969000000000001</v>
      </c>
      <c r="M12" s="1">
        <v>57.658000000000001</v>
      </c>
      <c r="N12" s="1">
        <v>60.545999999999999</v>
      </c>
      <c r="O12" s="1">
        <v>50.79</v>
      </c>
      <c r="P12" s="1">
        <v>52.555999999999997</v>
      </c>
      <c r="S12" s="1">
        <v>17.07</v>
      </c>
      <c r="T12" s="1">
        <v>27.082000000000001</v>
      </c>
      <c r="U12" s="1">
        <v>36.774999999999999</v>
      </c>
      <c r="V12" s="1">
        <v>53.063000000000002</v>
      </c>
      <c r="W12" s="1">
        <v>71.304000000000002</v>
      </c>
      <c r="X12" s="1">
        <v>92.346999999999994</v>
      </c>
      <c r="Y12" s="1">
        <v>122.944</v>
      </c>
      <c r="Z12" s="1">
        <v>160.49799999999999</v>
      </c>
      <c r="AA12" s="1">
        <v>193.55799999999999</v>
      </c>
      <c r="AB12" s="1">
        <f>+AB5*0.1</f>
        <v>197.70450000000002</v>
      </c>
      <c r="AC12" s="1">
        <f t="shared" ref="AC12:AQ12" si="47">+AC5*0.1</f>
        <v>257.01585</v>
      </c>
      <c r="AD12" s="1">
        <f t="shared" si="47"/>
        <v>334.12060500000007</v>
      </c>
      <c r="AE12" s="1">
        <f t="shared" si="47"/>
        <v>434.35678650000011</v>
      </c>
      <c r="AF12" s="1">
        <f t="shared" si="47"/>
        <v>564.66382245000011</v>
      </c>
      <c r="AG12" s="1">
        <f t="shared" si="47"/>
        <v>734.06296918500027</v>
      </c>
      <c r="AH12" s="1">
        <f t="shared" si="47"/>
        <v>954.28185994050045</v>
      </c>
      <c r="AI12" s="1">
        <f t="shared" si="47"/>
        <v>1240.5664179226505</v>
      </c>
      <c r="AJ12" s="1">
        <f t="shared" si="47"/>
        <v>1612.7363432994459</v>
      </c>
      <c r="AK12" s="1">
        <f t="shared" si="47"/>
        <v>2096.5572462892796</v>
      </c>
      <c r="AL12" s="1">
        <f t="shared" si="47"/>
        <v>2725.5244201760638</v>
      </c>
      <c r="AM12" s="1">
        <f t="shared" si="47"/>
        <v>3543.1817462288836</v>
      </c>
      <c r="AN12" s="1">
        <f t="shared" si="47"/>
        <v>4606.1362700975487</v>
      </c>
      <c r="AO12" s="1">
        <f t="shared" si="47"/>
        <v>5987.9771511268136</v>
      </c>
      <c r="AP12" s="1">
        <f t="shared" si="47"/>
        <v>7784.3702964648583</v>
      </c>
      <c r="AQ12" s="1">
        <f t="shared" si="47"/>
        <v>10119.681385404316</v>
      </c>
    </row>
    <row r="13" spans="1:43" x14ac:dyDescent="0.2">
      <c r="A13" s="1" t="s">
        <v>37</v>
      </c>
      <c r="B13" s="1">
        <f t="shared" ref="B13:P13" si="48">+SUM(B10:B12)</f>
        <v>188.56600000000003</v>
      </c>
      <c r="C13" s="1">
        <f t="shared" si="48"/>
        <v>210.57599999999999</v>
      </c>
      <c r="D13" s="1">
        <f t="shared" si="48"/>
        <v>235.197</v>
      </c>
      <c r="E13" s="1">
        <f t="shared" si="48"/>
        <v>269.315</v>
      </c>
      <c r="F13" s="1">
        <f t="shared" si="48"/>
        <v>283.17199999999997</v>
      </c>
      <c r="G13" s="1">
        <f t="shared" si="48"/>
        <v>330.226</v>
      </c>
      <c r="H13" s="1">
        <f t="shared" si="48"/>
        <v>322.89200000000005</v>
      </c>
      <c r="I13" s="1">
        <f t="shared" si="48"/>
        <v>345.101</v>
      </c>
      <c r="J13" s="1">
        <f t="shared" si="48"/>
        <v>339.37800000000004</v>
      </c>
      <c r="K13" s="1">
        <f t="shared" si="48"/>
        <v>367.45699999999999</v>
      </c>
      <c r="L13" s="1">
        <f t="shared" si="48"/>
        <v>371.096</v>
      </c>
      <c r="M13" s="1">
        <f t="shared" si="48"/>
        <v>414.327</v>
      </c>
      <c r="N13" s="1">
        <f t="shared" si="48"/>
        <v>426.05</v>
      </c>
      <c r="O13" s="1">
        <f t="shared" si="48"/>
        <v>421.29599999999999</v>
      </c>
      <c r="P13" s="1">
        <f t="shared" si="48"/>
        <v>421.92</v>
      </c>
      <c r="S13" s="1">
        <f t="shared" ref="S13:AB13" si="49">+SUM(S10:S12)</f>
        <v>117.148</v>
      </c>
      <c r="T13" s="1">
        <f t="shared" si="49"/>
        <v>157.43799999999999</v>
      </c>
      <c r="U13" s="1">
        <f t="shared" si="49"/>
        <v>208.92699999999999</v>
      </c>
      <c r="V13" s="1">
        <f t="shared" si="49"/>
        <v>291.21299999999997</v>
      </c>
      <c r="W13" s="1">
        <f t="shared" si="49"/>
        <v>444.23</v>
      </c>
      <c r="X13" s="1">
        <f t="shared" si="49"/>
        <v>622.60799999999995</v>
      </c>
      <c r="Y13" s="1">
        <f t="shared" si="49"/>
        <v>903.654</v>
      </c>
      <c r="Z13" s="1">
        <f t="shared" si="49"/>
        <v>1281.3910000000001</v>
      </c>
      <c r="AA13" s="1">
        <f t="shared" si="49"/>
        <v>1492.258</v>
      </c>
      <c r="AB13" s="1">
        <f t="shared" si="49"/>
        <v>1680.4882500000001</v>
      </c>
      <c r="AC13" s="1">
        <f t="shared" ref="AC13" si="50">+SUM(AC10:AC12)</f>
        <v>2184.6347249999999</v>
      </c>
      <c r="AD13" s="1">
        <f t="shared" ref="AD13" si="51">+SUM(AD10:AD12)</f>
        <v>2840.0251425000001</v>
      </c>
      <c r="AE13" s="1">
        <f t="shared" ref="AE13" si="52">+SUM(AE10:AE12)</f>
        <v>3692.0326852500007</v>
      </c>
      <c r="AF13" s="1">
        <f t="shared" ref="AF13" si="53">+SUM(AF10:AF12)</f>
        <v>4799.642490825001</v>
      </c>
      <c r="AG13" s="1">
        <f t="shared" ref="AG13" si="54">+SUM(AG10:AG12)</f>
        <v>6239.5352380725017</v>
      </c>
      <c r="AH13" s="1">
        <f t="shared" ref="AH13" si="55">+SUM(AH10:AH12)</f>
        <v>8111.3958094942536</v>
      </c>
      <c r="AI13" s="1">
        <f t="shared" ref="AI13" si="56">+SUM(AI10:AI12)</f>
        <v>10544.81455234253</v>
      </c>
      <c r="AJ13" s="1">
        <f t="shared" ref="AJ13" si="57">+SUM(AJ10:AJ12)</f>
        <v>13708.258918045289</v>
      </c>
      <c r="AK13" s="1">
        <f t="shared" ref="AK13" si="58">+SUM(AK10:AK12)</f>
        <v>17820.736593458878</v>
      </c>
      <c r="AL13" s="1">
        <f t="shared" ref="AL13" si="59">+SUM(AL10:AL12)</f>
        <v>23166.957571496543</v>
      </c>
      <c r="AM13" s="1">
        <f t="shared" ref="AM13" si="60">+SUM(AM10:AM12)</f>
        <v>30117.044842945506</v>
      </c>
      <c r="AN13" s="1">
        <f t="shared" ref="AN13" si="61">+SUM(AN10:AN12)</f>
        <v>39152.158295829169</v>
      </c>
      <c r="AO13" s="1">
        <f t="shared" ref="AO13" si="62">+SUM(AO10:AO12)</f>
        <v>50897.805784577911</v>
      </c>
      <c r="AP13" s="1">
        <f t="shared" ref="AP13" si="63">+SUM(AP10:AP12)</f>
        <v>66167.147519951293</v>
      </c>
      <c r="AQ13" s="1">
        <f t="shared" ref="AQ13" si="64">+SUM(AQ10:AQ12)</f>
        <v>86017.291775936683</v>
      </c>
    </row>
    <row r="14" spans="1:43" s="8" customFormat="1" x14ac:dyDescent="0.2">
      <c r="A14" s="8" t="s">
        <v>38</v>
      </c>
      <c r="B14" s="8">
        <f t="shared" ref="B14:P14" si="65">+B9-B13</f>
        <v>-61.146000000000029</v>
      </c>
      <c r="C14" s="8">
        <f t="shared" si="65"/>
        <v>-72.530999999999977</v>
      </c>
      <c r="D14" s="8">
        <f t="shared" si="65"/>
        <v>-76.768000000000001</v>
      </c>
      <c r="E14" s="8">
        <f t="shared" si="65"/>
        <v>-78.618999999999971</v>
      </c>
      <c r="F14" s="8">
        <f t="shared" si="65"/>
        <v>-75.939999999999969</v>
      </c>
      <c r="G14" s="8">
        <f t="shared" si="65"/>
        <v>-114.84299999999996</v>
      </c>
      <c r="H14" s="8">
        <f t="shared" si="65"/>
        <v>-82.923000000000059</v>
      </c>
      <c r="I14" s="8">
        <f t="shared" si="65"/>
        <v>-72.947999999999979</v>
      </c>
      <c r="J14" s="8">
        <f t="shared" si="65"/>
        <v>-68.547000000000082</v>
      </c>
      <c r="K14" s="8">
        <f t="shared" si="65"/>
        <v>-49.002999999999986</v>
      </c>
      <c r="L14" s="8">
        <f t="shared" si="65"/>
        <v>-45.216000000000008</v>
      </c>
      <c r="M14" s="8">
        <f t="shared" si="65"/>
        <v>-70.966000000000008</v>
      </c>
      <c r="N14" s="8">
        <f t="shared" si="65"/>
        <v>-98.185999999999979</v>
      </c>
      <c r="O14" s="8">
        <f t="shared" si="65"/>
        <v>-71.44</v>
      </c>
      <c r="P14" s="8">
        <f t="shared" si="65"/>
        <v>-27.876000000000033</v>
      </c>
      <c r="S14" s="8">
        <f t="shared" ref="S14:AB14" si="66">+S9-S13</f>
        <v>-72.738</v>
      </c>
      <c r="T14" s="8">
        <f t="shared" si="66"/>
        <v>-85.946999999999989</v>
      </c>
      <c r="U14" s="8">
        <f t="shared" si="66"/>
        <v>-97.266999999999982</v>
      </c>
      <c r="V14" s="8">
        <f t="shared" si="66"/>
        <v>-97.764999999999986</v>
      </c>
      <c r="W14" s="8">
        <f t="shared" si="66"/>
        <v>-147.87059999999997</v>
      </c>
      <c r="X14" s="8">
        <f t="shared" si="66"/>
        <v>-209.30399999999997</v>
      </c>
      <c r="Y14" s="8">
        <f t="shared" si="66"/>
        <v>-289.36400000000003</v>
      </c>
      <c r="Z14" s="8">
        <f t="shared" si="66"/>
        <v>-346.6550000000002</v>
      </c>
      <c r="AA14" s="8">
        <f t="shared" si="66"/>
        <v>-233.7320000000002</v>
      </c>
      <c r="AB14" s="8">
        <f t="shared" si="66"/>
        <v>-255.27375000000006</v>
      </c>
      <c r="AC14" s="8">
        <f t="shared" ref="AC14" si="67">+AC9-AC13</f>
        <v>-331.85587499999997</v>
      </c>
      <c r="AD14" s="8">
        <f t="shared" ref="AD14" si="68">+AD9-AD13</f>
        <v>-431.41263750000007</v>
      </c>
      <c r="AE14" s="8">
        <f t="shared" ref="AE14" si="69">+AE9-AE13</f>
        <v>-560.83642874999987</v>
      </c>
      <c r="AF14" s="8">
        <f t="shared" ref="AF14" si="70">+AF9-AF13</f>
        <v>-729.08735737500001</v>
      </c>
      <c r="AG14" s="8">
        <f t="shared" ref="AG14" si="71">+AG9-AG13</f>
        <v>-947.81356458749997</v>
      </c>
      <c r="AH14" s="8">
        <f t="shared" ref="AH14" si="72">+AH9-AH13</f>
        <v>-1232.1576339637504</v>
      </c>
      <c r="AI14" s="8">
        <f t="shared" ref="AI14" si="73">+AI9-AI13</f>
        <v>-1601.8049241528752</v>
      </c>
      <c r="AJ14" s="8">
        <f t="shared" ref="AJ14" si="74">+AJ9-AJ13</f>
        <v>-2082.3464013987359</v>
      </c>
      <c r="AK14" s="8">
        <f t="shared" ref="AK14" si="75">+AK9-AK13</f>
        <v>-2707.0503218183603</v>
      </c>
      <c r="AL14" s="8">
        <f t="shared" ref="AL14" si="76">+AL9-AL13</f>
        <v>-3519.1654183638675</v>
      </c>
      <c r="AM14" s="8">
        <f t="shared" ref="AM14" si="77">+AM9-AM13</f>
        <v>-4574.9150438730248</v>
      </c>
      <c r="AN14" s="8">
        <f t="shared" ref="AN14" si="78">+AN9-AN13</f>
        <v>-5947.3895570349414</v>
      </c>
      <c r="AO14" s="8">
        <f t="shared" ref="AO14" si="79">+AO9-AO13</f>
        <v>-7731.6064241454151</v>
      </c>
      <c r="AP14" s="8">
        <f t="shared" ref="AP14" si="80">+AP9-AP13</f>
        <v>-10051.088351389044</v>
      </c>
      <c r="AQ14" s="8">
        <f t="shared" ref="AQ14" si="81">+AQ9-AQ13</f>
        <v>-13066.414856805757</v>
      </c>
    </row>
    <row r="15" spans="1:43" x14ac:dyDescent="0.2">
      <c r="A15" s="1" t="s">
        <v>39</v>
      </c>
      <c r="B15" s="1">
        <f>0.173-3.658-0.437</f>
        <v>-3.9219999999999997</v>
      </c>
      <c r="C15" s="1">
        <f>0.157-2.556-0.665</f>
        <v>-3.0640000000000001</v>
      </c>
      <c r="D15" s="1">
        <f>0.204-2.597+0.117</f>
        <v>-2.2759999999999998</v>
      </c>
      <c r="E15" s="1">
        <v>-4.2629999999999999</v>
      </c>
      <c r="F15" s="1">
        <f>0.624-2.453+1.621</f>
        <v>-0.20799999999999974</v>
      </c>
      <c r="G15" s="1">
        <f>1.68-2.429-0.224</f>
        <v>-0.97299999999999986</v>
      </c>
      <c r="H15" s="1">
        <f>6.932-2.497-1.318</f>
        <v>3.1170000000000004</v>
      </c>
      <c r="I15" s="1">
        <v>11.465</v>
      </c>
      <c r="J15" s="1">
        <f>18.037-2.393+1.144</f>
        <v>16.787999999999997</v>
      </c>
      <c r="K15" s="1">
        <f>19.47-2.611-1.865</f>
        <v>14.993999999999998</v>
      </c>
      <c r="L15" s="1">
        <f>20.358-1.964+1.16</f>
        <v>19.554000000000002</v>
      </c>
      <c r="M15" s="1">
        <v>18.88</v>
      </c>
      <c r="N15" s="1">
        <f>23.111-1.897-1.04</f>
        <v>20.174000000000003</v>
      </c>
      <c r="O15" s="1">
        <f>24.26-2.282-1.17</f>
        <v>20.808</v>
      </c>
      <c r="P15" s="1">
        <f>23.869-2.278-0.824</f>
        <v>20.766999999999999</v>
      </c>
      <c r="S15" s="1">
        <f>0.146-0.024-0.428</f>
        <v>-0.30599999999999999</v>
      </c>
      <c r="T15" s="1">
        <f>0.302-0.009-0.308</f>
        <v>-1.5000000000000013E-2</v>
      </c>
      <c r="U15" s="1">
        <f>1.308-0.008+0.895</f>
        <v>2.1950000000000003</v>
      </c>
      <c r="V15" s="1">
        <f>7.163-10.29-1.437</f>
        <v>-4.5639999999999992</v>
      </c>
      <c r="W15" s="1">
        <f>8.556-20.983-15.885</f>
        <v>-28.312000000000001</v>
      </c>
      <c r="X15" s="1">
        <f>4.569-56.107-1.851</f>
        <v>-53.388999999999996</v>
      </c>
      <c r="Y15" s="1">
        <f>0.926-11.316-3.135</f>
        <v>-13.525</v>
      </c>
      <c r="Z15" s="1">
        <f>24.948-9.797-1.75</f>
        <v>13.401</v>
      </c>
      <c r="AA15" s="1">
        <f>80.238-9.387-0.635</f>
        <v>70.215999999999994</v>
      </c>
      <c r="AB15" s="1">
        <f>+AA15*1.03</f>
        <v>72.322479999999999</v>
      </c>
      <c r="AC15" s="1">
        <f t="shared" ref="AC15:AQ15" si="82">+AB15*1.03</f>
        <v>74.492154400000004</v>
      </c>
      <c r="AD15" s="1">
        <f t="shared" si="82"/>
        <v>76.726919032000012</v>
      </c>
      <c r="AE15" s="1">
        <f t="shared" si="82"/>
        <v>79.02872660296002</v>
      </c>
      <c r="AF15" s="1">
        <f t="shared" si="82"/>
        <v>81.399588401048817</v>
      </c>
      <c r="AG15" s="1">
        <f t="shared" si="82"/>
        <v>83.841576053080288</v>
      </c>
      <c r="AH15" s="1">
        <f t="shared" si="82"/>
        <v>86.356823334672697</v>
      </c>
      <c r="AI15" s="1">
        <f t="shared" si="82"/>
        <v>88.947528034712875</v>
      </c>
      <c r="AJ15" s="1">
        <f t="shared" si="82"/>
        <v>91.615953875754258</v>
      </c>
      <c r="AK15" s="1">
        <f t="shared" si="82"/>
        <v>94.364432492026893</v>
      </c>
      <c r="AL15" s="1">
        <f t="shared" si="82"/>
        <v>97.195365466787706</v>
      </c>
      <c r="AM15" s="1">
        <f t="shared" si="82"/>
        <v>100.11122643079133</v>
      </c>
      <c r="AN15" s="1">
        <f t="shared" si="82"/>
        <v>103.11456322371508</v>
      </c>
      <c r="AO15" s="1">
        <f t="shared" si="82"/>
        <v>106.20800012042653</v>
      </c>
      <c r="AP15" s="1">
        <f t="shared" si="82"/>
        <v>109.39424012403933</v>
      </c>
      <c r="AQ15" s="1">
        <f t="shared" si="82"/>
        <v>112.67606732776051</v>
      </c>
    </row>
    <row r="16" spans="1:43" x14ac:dyDescent="0.2">
      <c r="A16" s="1" t="s">
        <v>4</v>
      </c>
      <c r="B16" s="1">
        <f t="shared" ref="B16:P16" si="83">+B14+B15</f>
        <v>-65.068000000000026</v>
      </c>
      <c r="C16" s="1">
        <f t="shared" si="83"/>
        <v>-75.59499999999997</v>
      </c>
      <c r="D16" s="1">
        <f t="shared" si="83"/>
        <v>-79.043999999999997</v>
      </c>
      <c r="E16" s="1">
        <f t="shared" si="83"/>
        <v>-82.881999999999977</v>
      </c>
      <c r="F16" s="1">
        <f t="shared" si="83"/>
        <v>-76.147999999999968</v>
      </c>
      <c r="G16" s="1">
        <f t="shared" si="83"/>
        <v>-115.81599999999996</v>
      </c>
      <c r="H16" s="1">
        <f t="shared" si="83"/>
        <v>-79.806000000000054</v>
      </c>
      <c r="I16" s="1">
        <f t="shared" si="83"/>
        <v>-61.482999999999976</v>
      </c>
      <c r="J16" s="1">
        <f t="shared" si="83"/>
        <v>-51.759000000000086</v>
      </c>
      <c r="K16" s="1">
        <f t="shared" si="83"/>
        <v>-34.008999999999986</v>
      </c>
      <c r="L16" s="1">
        <f t="shared" si="83"/>
        <v>-25.662000000000006</v>
      </c>
      <c r="M16" s="1">
        <f t="shared" si="83"/>
        <v>-52.086000000000013</v>
      </c>
      <c r="N16" s="1">
        <f t="shared" si="83"/>
        <v>-78.011999999999972</v>
      </c>
      <c r="O16" s="1">
        <f t="shared" si="83"/>
        <v>-50.631999999999998</v>
      </c>
      <c r="P16" s="1">
        <f t="shared" si="83"/>
        <v>-7.1090000000000337</v>
      </c>
      <c r="S16" s="1">
        <f t="shared" ref="S16:AA16" si="84">+S14+S15</f>
        <v>-73.043999999999997</v>
      </c>
      <c r="T16" s="1">
        <f t="shared" si="84"/>
        <v>-85.961999999999989</v>
      </c>
      <c r="U16" s="1">
        <f t="shared" si="84"/>
        <v>-95.071999999999974</v>
      </c>
      <c r="V16" s="1">
        <f t="shared" si="84"/>
        <v>-102.32899999999998</v>
      </c>
      <c r="W16" s="1">
        <f t="shared" si="84"/>
        <v>-176.18259999999998</v>
      </c>
      <c r="X16" s="1">
        <f t="shared" si="84"/>
        <v>-262.69299999999998</v>
      </c>
      <c r="Y16" s="1">
        <f t="shared" si="84"/>
        <v>-302.88900000000001</v>
      </c>
      <c r="Z16" s="1">
        <f t="shared" si="84"/>
        <v>-333.25400000000019</v>
      </c>
      <c r="AA16" s="1">
        <f t="shared" si="84"/>
        <v>-163.51600000000019</v>
      </c>
      <c r="AB16" s="1">
        <f t="shared" ref="AB16" si="85">+AB14+AB15</f>
        <v>-182.95127000000008</v>
      </c>
      <c r="AC16" s="1">
        <f t="shared" ref="AC16" si="86">+AC14+AC15</f>
        <v>-257.36372059999997</v>
      </c>
      <c r="AD16" s="1">
        <f t="shared" ref="AD16" si="87">+AD14+AD15</f>
        <v>-354.68571846800006</v>
      </c>
      <c r="AE16" s="1">
        <f t="shared" ref="AE16" si="88">+AE14+AE15</f>
        <v>-481.80770214703983</v>
      </c>
      <c r="AF16" s="1">
        <f t="shared" ref="AF16" si="89">+AF14+AF15</f>
        <v>-647.68776897395117</v>
      </c>
      <c r="AG16" s="1">
        <f t="shared" ref="AG16" si="90">+AG14+AG15</f>
        <v>-863.97198853441967</v>
      </c>
      <c r="AH16" s="1">
        <f t="shared" ref="AH16" si="91">+AH14+AH15</f>
        <v>-1145.8008106290777</v>
      </c>
      <c r="AI16" s="1">
        <f t="shared" ref="AI16" si="92">+AI14+AI15</f>
        <v>-1512.8573961181623</v>
      </c>
      <c r="AJ16" s="1">
        <f t="shared" ref="AJ16" si="93">+AJ14+AJ15</f>
        <v>-1990.7304475229816</v>
      </c>
      <c r="AK16" s="1">
        <f t="shared" ref="AK16" si="94">+AK14+AK15</f>
        <v>-2612.6858893263334</v>
      </c>
      <c r="AL16" s="1">
        <f t="shared" ref="AL16" si="95">+AL14+AL15</f>
        <v>-3421.9700528970798</v>
      </c>
      <c r="AM16" s="1">
        <f t="shared" ref="AM16" si="96">+AM14+AM15</f>
        <v>-4474.8038174422336</v>
      </c>
      <c r="AN16" s="1">
        <f t="shared" ref="AN16" si="97">+AN14+AN15</f>
        <v>-5844.2749938112265</v>
      </c>
      <c r="AO16" s="1">
        <f t="shared" ref="AO16" si="98">+AO14+AO15</f>
        <v>-7625.3984240249883</v>
      </c>
      <c r="AP16" s="1">
        <f t="shared" ref="AP16" si="99">+AP14+AP15</f>
        <v>-9941.6941112650038</v>
      </c>
      <c r="AQ16" s="1">
        <f t="shared" ref="AQ16" si="100">+AQ14+AQ15</f>
        <v>-12953.738789477997</v>
      </c>
    </row>
    <row r="17" spans="1:144" x14ac:dyDescent="0.2">
      <c r="A17" s="1" t="s">
        <v>5</v>
      </c>
      <c r="B17" s="1">
        <v>-1.3759999999999999</v>
      </c>
      <c r="C17" s="1">
        <v>1.538</v>
      </c>
      <c r="D17" s="1">
        <v>2.2490000000000001</v>
      </c>
      <c r="E17" s="1">
        <v>1.5660000000000001</v>
      </c>
      <c r="F17" s="1">
        <v>1.1459999999999999</v>
      </c>
      <c r="G17" s="1">
        <v>3.0489999999999999</v>
      </c>
      <c r="H17" s="1">
        <v>5.0350000000000001</v>
      </c>
      <c r="I17" s="1">
        <v>2.9140000000000001</v>
      </c>
      <c r="J17" s="1">
        <v>2.4870000000000001</v>
      </c>
      <c r="K17" s="1">
        <v>3.5880000000000001</v>
      </c>
      <c r="L17" s="1">
        <v>3.6349999999999998</v>
      </c>
      <c r="M17" s="1">
        <v>3.3740000000000001</v>
      </c>
      <c r="N17" s="1">
        <v>2.581</v>
      </c>
      <c r="O17" s="1">
        <v>3.8969999999999998</v>
      </c>
      <c r="P17" s="1">
        <v>2.6669999999999998</v>
      </c>
      <c r="S17" s="1">
        <v>0.442</v>
      </c>
      <c r="T17" s="1">
        <v>0.71899999999999997</v>
      </c>
      <c r="U17" s="1">
        <v>1.2869999999999999</v>
      </c>
      <c r="V17" s="1">
        <v>-3.3180000000000001</v>
      </c>
      <c r="W17" s="1">
        <v>-0.65600000000000003</v>
      </c>
      <c r="X17" s="1">
        <v>4.2510000000000003</v>
      </c>
      <c r="Y17" s="1">
        <v>3.9769999999999999</v>
      </c>
      <c r="Z17" s="1">
        <v>12.144</v>
      </c>
      <c r="AA17" s="1">
        <v>13.084</v>
      </c>
      <c r="AB17" s="1">
        <f>+AB16*-0.21</f>
        <v>38.419766700000018</v>
      </c>
      <c r="AC17" s="1">
        <f t="shared" ref="AC17:AQ17" si="101">+AC16*-0.21</f>
        <v>54.046381325999988</v>
      </c>
      <c r="AD17" s="1">
        <f t="shared" si="101"/>
        <v>74.484000878280014</v>
      </c>
      <c r="AE17" s="1">
        <f t="shared" si="101"/>
        <v>101.17961745087837</v>
      </c>
      <c r="AF17" s="1">
        <f t="shared" si="101"/>
        <v>136.01443148452975</v>
      </c>
      <c r="AG17" s="1">
        <f t="shared" si="101"/>
        <v>181.43411759222812</v>
      </c>
      <c r="AH17" s="1">
        <f t="shared" si="101"/>
        <v>240.61817023210631</v>
      </c>
      <c r="AI17" s="1">
        <f>+AI16*0.21</f>
        <v>-317.70005318481407</v>
      </c>
      <c r="AJ17" s="1">
        <f t="shared" ref="AJ17:AQ17" si="102">+AJ16*0.21</f>
        <v>-418.05339397982613</v>
      </c>
      <c r="AK17" s="1">
        <f t="shared" si="102"/>
        <v>-548.66403675852996</v>
      </c>
      <c r="AL17" s="1">
        <f t="shared" si="102"/>
        <v>-718.61371110838672</v>
      </c>
      <c r="AM17" s="1">
        <f t="shared" si="102"/>
        <v>-939.70880166286906</v>
      </c>
      <c r="AN17" s="1">
        <f t="shared" si="102"/>
        <v>-1227.2977487003575</v>
      </c>
      <c r="AO17" s="1">
        <f t="shared" si="102"/>
        <v>-1601.3336690452475</v>
      </c>
      <c r="AP17" s="1">
        <f t="shared" si="102"/>
        <v>-2087.7557633656506</v>
      </c>
      <c r="AQ17" s="1">
        <f t="shared" si="102"/>
        <v>-2720.2851457903794</v>
      </c>
    </row>
    <row r="18" spans="1:144" s="8" customFormat="1" x14ac:dyDescent="0.2">
      <c r="A18" s="8" t="s">
        <v>6</v>
      </c>
      <c r="B18" s="8">
        <f t="shared" ref="B18:P18" si="103">+B16-B17</f>
        <v>-63.692000000000029</v>
      </c>
      <c r="C18" s="8">
        <f t="shared" si="103"/>
        <v>-77.132999999999967</v>
      </c>
      <c r="D18" s="8">
        <f t="shared" si="103"/>
        <v>-81.292999999999992</v>
      </c>
      <c r="E18" s="8">
        <f t="shared" si="103"/>
        <v>-84.447999999999979</v>
      </c>
      <c r="F18" s="8">
        <f t="shared" si="103"/>
        <v>-77.293999999999969</v>
      </c>
      <c r="G18" s="8">
        <f t="shared" si="103"/>
        <v>-118.86499999999997</v>
      </c>
      <c r="H18" s="8">
        <f t="shared" si="103"/>
        <v>-84.841000000000051</v>
      </c>
      <c r="I18" s="8">
        <f t="shared" si="103"/>
        <v>-64.396999999999977</v>
      </c>
      <c r="J18" s="8">
        <f t="shared" si="103"/>
        <v>-54.246000000000087</v>
      </c>
      <c r="K18" s="8">
        <f t="shared" si="103"/>
        <v>-37.596999999999987</v>
      </c>
      <c r="L18" s="8">
        <f t="shared" si="103"/>
        <v>-29.297000000000004</v>
      </c>
      <c r="M18" s="8">
        <f t="shared" si="103"/>
        <v>-55.460000000000015</v>
      </c>
      <c r="N18" s="8">
        <f t="shared" si="103"/>
        <v>-80.592999999999975</v>
      </c>
      <c r="O18" s="8">
        <f t="shared" si="103"/>
        <v>-54.528999999999996</v>
      </c>
      <c r="P18" s="8">
        <f t="shared" si="103"/>
        <v>-9.7760000000000336</v>
      </c>
      <c r="S18" s="8">
        <f t="shared" ref="S18:AA18" si="104">+S16-S17</f>
        <v>-73.48599999999999</v>
      </c>
      <c r="T18" s="8">
        <f t="shared" si="104"/>
        <v>-86.680999999999983</v>
      </c>
      <c r="U18" s="8">
        <f t="shared" si="104"/>
        <v>-96.35899999999998</v>
      </c>
      <c r="V18" s="8">
        <f t="shared" si="104"/>
        <v>-99.010999999999981</v>
      </c>
      <c r="W18" s="8">
        <f t="shared" si="104"/>
        <v>-175.52659999999997</v>
      </c>
      <c r="X18" s="8">
        <f t="shared" si="104"/>
        <v>-266.94399999999996</v>
      </c>
      <c r="Y18" s="8">
        <f t="shared" si="104"/>
        <v>-306.86599999999999</v>
      </c>
      <c r="Z18" s="8">
        <f t="shared" si="104"/>
        <v>-345.3980000000002</v>
      </c>
      <c r="AA18" s="8">
        <f t="shared" si="104"/>
        <v>-176.60000000000019</v>
      </c>
      <c r="AB18" s="8">
        <f t="shared" ref="AB18" si="105">+AB16-AB17</f>
        <v>-221.3710367000001</v>
      </c>
      <c r="AC18" s="8">
        <f t="shared" ref="AC18" si="106">+AC16-AC17</f>
        <v>-311.41010192599992</v>
      </c>
      <c r="AD18" s="8">
        <f t="shared" ref="AD18" si="107">+AD16-AD17</f>
        <v>-429.16971934628009</v>
      </c>
      <c r="AE18" s="8">
        <f t="shared" ref="AE18" si="108">+AE16-AE17</f>
        <v>-582.98731959791826</v>
      </c>
      <c r="AF18" s="8">
        <f t="shared" ref="AF18" si="109">+AF16-AF17</f>
        <v>-783.70220045848089</v>
      </c>
      <c r="AG18" s="8">
        <f t="shared" ref="AG18" si="110">+AG16-AG17</f>
        <v>-1045.4061061266477</v>
      </c>
      <c r="AH18" s="8">
        <f t="shared" ref="AH18" si="111">+AH16-AH17</f>
        <v>-1386.4189808611841</v>
      </c>
      <c r="AI18" s="8">
        <f t="shared" ref="AI18" si="112">+AI16-AI17</f>
        <v>-1195.1573429333482</v>
      </c>
      <c r="AJ18" s="8">
        <f t="shared" ref="AJ18" si="113">+AJ16-AJ17</f>
        <v>-1572.6770535431556</v>
      </c>
      <c r="AK18" s="8">
        <f t="shared" ref="AK18" si="114">+AK16-AK17</f>
        <v>-2064.0218525678033</v>
      </c>
      <c r="AL18" s="8">
        <f t="shared" ref="AL18" si="115">+AL16-AL17</f>
        <v>-2703.356341788693</v>
      </c>
      <c r="AM18" s="8">
        <f t="shared" ref="AM18" si="116">+AM16-AM17</f>
        <v>-3535.0950157793645</v>
      </c>
      <c r="AN18" s="8">
        <f t="shared" ref="AN18" si="117">+AN16-AN17</f>
        <v>-4616.9772451108693</v>
      </c>
      <c r="AO18" s="8">
        <f t="shared" ref="AO18" si="118">+AO16-AO17</f>
        <v>-6024.0647549797413</v>
      </c>
      <c r="AP18" s="8">
        <f t="shared" ref="AP18" si="119">+AP16-AP17</f>
        <v>-7853.9383478993532</v>
      </c>
      <c r="AQ18" s="8">
        <f t="shared" ref="AQ18" si="120">+AQ16-AQ17</f>
        <v>-10233.453643687617</v>
      </c>
      <c r="AR18" s="8">
        <f>+AQ18*(1+$AS$29)</f>
        <v>-10028.784570813865</v>
      </c>
      <c r="AS18" s="8">
        <f t="shared" ref="AS18:DD18" si="121">+AR18*(1+$AS$29)</f>
        <v>-9828.2088793975872</v>
      </c>
      <c r="AT18" s="8">
        <f t="shared" si="121"/>
        <v>-9631.6447018096351</v>
      </c>
      <c r="AU18" s="8">
        <f t="shared" si="121"/>
        <v>-9439.0118077734423</v>
      </c>
      <c r="AV18" s="8">
        <f t="shared" si="121"/>
        <v>-9250.2315716179728</v>
      </c>
      <c r="AW18" s="8">
        <f t="shared" si="121"/>
        <v>-9065.2269401856138</v>
      </c>
      <c r="AX18" s="8">
        <f t="shared" si="121"/>
        <v>-8883.9224013819021</v>
      </c>
      <c r="AY18" s="8">
        <f t="shared" si="121"/>
        <v>-8706.2439533542638</v>
      </c>
      <c r="AZ18" s="8">
        <f t="shared" si="121"/>
        <v>-8532.1190742871786</v>
      </c>
      <c r="BA18" s="8">
        <f t="shared" si="121"/>
        <v>-8361.4766928014342</v>
      </c>
      <c r="BB18" s="8">
        <f t="shared" si="121"/>
        <v>-8194.2471589454053</v>
      </c>
      <c r="BC18" s="8">
        <f t="shared" si="121"/>
        <v>-8030.3622157664968</v>
      </c>
      <c r="BD18" s="8">
        <f t="shared" si="121"/>
        <v>-7869.754971451167</v>
      </c>
      <c r="BE18" s="8">
        <f t="shared" si="121"/>
        <v>-7712.3598720221435</v>
      </c>
      <c r="BF18" s="8">
        <f t="shared" si="121"/>
        <v>-7558.1126745817</v>
      </c>
      <c r="BG18" s="8">
        <f t="shared" si="121"/>
        <v>-7406.9504210900659</v>
      </c>
      <c r="BH18" s="8">
        <f t="shared" si="121"/>
        <v>-7258.8114126682649</v>
      </c>
      <c r="BI18" s="8">
        <f t="shared" si="121"/>
        <v>-7113.6351844148994</v>
      </c>
      <c r="BJ18" s="8">
        <f t="shared" si="121"/>
        <v>-6971.3624807266015</v>
      </c>
      <c r="BK18" s="8">
        <f t="shared" si="121"/>
        <v>-6831.9352311120692</v>
      </c>
      <c r="BL18" s="8">
        <f t="shared" si="121"/>
        <v>-6695.2965264898276</v>
      </c>
      <c r="BM18" s="8">
        <f t="shared" si="121"/>
        <v>-6561.3905959600306</v>
      </c>
      <c r="BN18" s="8">
        <f t="shared" si="121"/>
        <v>-6430.16278404083</v>
      </c>
      <c r="BO18" s="8">
        <f t="shared" si="121"/>
        <v>-6301.5595283600132</v>
      </c>
      <c r="BP18" s="8">
        <f t="shared" si="121"/>
        <v>-6175.5283377928126</v>
      </c>
      <c r="BQ18" s="8">
        <f t="shared" si="121"/>
        <v>-6052.0177710369562</v>
      </c>
      <c r="BR18" s="8">
        <f t="shared" si="121"/>
        <v>-5930.9774156162166</v>
      </c>
      <c r="BS18" s="8">
        <f t="shared" si="121"/>
        <v>-5812.3578673038919</v>
      </c>
      <c r="BT18" s="8">
        <f t="shared" si="121"/>
        <v>-5696.1107099578139</v>
      </c>
      <c r="BU18" s="8">
        <f t="shared" si="121"/>
        <v>-5582.1884957586572</v>
      </c>
      <c r="BV18" s="8">
        <f t="shared" si="121"/>
        <v>-5470.5447258434842</v>
      </c>
      <c r="BW18" s="8">
        <f t="shared" si="121"/>
        <v>-5361.1338313266142</v>
      </c>
      <c r="BX18" s="8">
        <f t="shared" si="121"/>
        <v>-5253.9111547000821</v>
      </c>
      <c r="BY18" s="8">
        <f t="shared" si="121"/>
        <v>-5148.8329316060799</v>
      </c>
      <c r="BZ18" s="8">
        <f t="shared" si="121"/>
        <v>-5045.8562729739579</v>
      </c>
      <c r="CA18" s="8">
        <f t="shared" si="121"/>
        <v>-4944.9391475144785</v>
      </c>
      <c r="CB18" s="8">
        <f t="shared" si="121"/>
        <v>-4846.0403645641891</v>
      </c>
      <c r="CC18" s="8">
        <f t="shared" si="121"/>
        <v>-4749.1195572729048</v>
      </c>
      <c r="CD18" s="8">
        <f t="shared" si="121"/>
        <v>-4654.137166127447</v>
      </c>
      <c r="CE18" s="8">
        <f t="shared" si="121"/>
        <v>-4561.0544228048984</v>
      </c>
      <c r="CF18" s="8">
        <f t="shared" si="121"/>
        <v>-4469.8333343488002</v>
      </c>
      <c r="CG18" s="8">
        <f t="shared" si="121"/>
        <v>-4380.4366676618238</v>
      </c>
      <c r="CH18" s="8">
        <f t="shared" si="121"/>
        <v>-4292.8279343085869</v>
      </c>
      <c r="CI18" s="8">
        <f t="shared" si="121"/>
        <v>-4206.9713756224155</v>
      </c>
      <c r="CJ18" s="8">
        <f t="shared" si="121"/>
        <v>-4122.831948109967</v>
      </c>
      <c r="CK18" s="8">
        <f t="shared" si="121"/>
        <v>-4040.3753091477674</v>
      </c>
      <c r="CL18" s="8">
        <f t="shared" si="121"/>
        <v>-3959.567802964812</v>
      </c>
      <c r="CM18" s="8">
        <f t="shared" si="121"/>
        <v>-3880.3764469055159</v>
      </c>
      <c r="CN18" s="8">
        <f t="shared" si="121"/>
        <v>-3802.7689179674053</v>
      </c>
      <c r="CO18" s="8">
        <f t="shared" si="121"/>
        <v>-3726.7135396080571</v>
      </c>
      <c r="CP18" s="8">
        <f t="shared" si="121"/>
        <v>-3652.1792688158957</v>
      </c>
      <c r="CQ18" s="8">
        <f t="shared" si="121"/>
        <v>-3579.1356834395779</v>
      </c>
      <c r="CR18" s="8">
        <f t="shared" si="121"/>
        <v>-3507.5529697707861</v>
      </c>
      <c r="CS18" s="8">
        <f t="shared" si="121"/>
        <v>-3437.4019103753703</v>
      </c>
      <c r="CT18" s="8">
        <f t="shared" si="121"/>
        <v>-3368.653872167863</v>
      </c>
      <c r="CU18" s="8">
        <f t="shared" si="121"/>
        <v>-3301.2807947245055</v>
      </c>
      <c r="CV18" s="8">
        <f t="shared" si="121"/>
        <v>-3235.2551788300152</v>
      </c>
      <c r="CW18" s="8">
        <f t="shared" si="121"/>
        <v>-3170.5500752534149</v>
      </c>
      <c r="CX18" s="8">
        <f t="shared" si="121"/>
        <v>-3107.1390737483466</v>
      </c>
      <c r="CY18" s="8">
        <f t="shared" si="121"/>
        <v>-3044.9962922733798</v>
      </c>
      <c r="CZ18" s="8">
        <f t="shared" si="121"/>
        <v>-2984.096366427912</v>
      </c>
      <c r="DA18" s="8">
        <f t="shared" si="121"/>
        <v>-2924.4144390993538</v>
      </c>
      <c r="DB18" s="8">
        <f t="shared" si="121"/>
        <v>-2865.9261503173666</v>
      </c>
      <c r="DC18" s="8">
        <f t="shared" si="121"/>
        <v>-2808.6076273110193</v>
      </c>
      <c r="DD18" s="8">
        <f t="shared" si="121"/>
        <v>-2752.435474764799</v>
      </c>
      <c r="DE18" s="8">
        <f t="shared" ref="DE18:EN18" si="122">+DD18*(1+$AS$29)</f>
        <v>-2697.386765269503</v>
      </c>
      <c r="DF18" s="8">
        <f t="shared" si="122"/>
        <v>-2643.4390299641127</v>
      </c>
      <c r="DG18" s="8">
        <f t="shared" si="122"/>
        <v>-2590.5702493648305</v>
      </c>
      <c r="DH18" s="8">
        <f t="shared" si="122"/>
        <v>-2538.7588443775339</v>
      </c>
      <c r="DI18" s="8">
        <f t="shared" si="122"/>
        <v>-2487.9836674899834</v>
      </c>
      <c r="DJ18" s="8">
        <f t="shared" si="122"/>
        <v>-2438.2239941401835</v>
      </c>
      <c r="DK18" s="8">
        <f t="shared" si="122"/>
        <v>-2389.4595142573799</v>
      </c>
      <c r="DL18" s="8">
        <f t="shared" si="122"/>
        <v>-2341.6703239722324</v>
      </c>
      <c r="DM18" s="8">
        <f t="shared" si="122"/>
        <v>-2294.8369174927875</v>
      </c>
      <c r="DN18" s="8">
        <f t="shared" si="122"/>
        <v>-2248.9401791429318</v>
      </c>
      <c r="DO18" s="8">
        <f t="shared" si="122"/>
        <v>-2203.9613755600731</v>
      </c>
      <c r="DP18" s="8">
        <f t="shared" si="122"/>
        <v>-2159.8821480488714</v>
      </c>
      <c r="DQ18" s="8">
        <f t="shared" si="122"/>
        <v>-2116.6845050878937</v>
      </c>
      <c r="DR18" s="8">
        <f t="shared" si="122"/>
        <v>-2074.3508149861359</v>
      </c>
      <c r="DS18" s="8">
        <f t="shared" si="122"/>
        <v>-2032.8637986864132</v>
      </c>
      <c r="DT18" s="8">
        <f t="shared" si="122"/>
        <v>-1992.206522712685</v>
      </c>
      <c r="DU18" s="8">
        <f t="shared" si="122"/>
        <v>-1952.3623922584313</v>
      </c>
      <c r="DV18" s="8">
        <f t="shared" si="122"/>
        <v>-1913.3151444132627</v>
      </c>
      <c r="DW18" s="8">
        <f t="shared" si="122"/>
        <v>-1875.0488415249974</v>
      </c>
      <c r="DX18" s="8">
        <f t="shared" si="122"/>
        <v>-1837.5478646944975</v>
      </c>
      <c r="DY18" s="8">
        <f t="shared" si="122"/>
        <v>-1800.7969074006076</v>
      </c>
      <c r="DZ18" s="8">
        <f t="shared" si="122"/>
        <v>-1764.7809692525955</v>
      </c>
      <c r="EA18" s="8">
        <f t="shared" si="122"/>
        <v>-1729.4853498675436</v>
      </c>
      <c r="EB18" s="8">
        <f t="shared" si="122"/>
        <v>-1694.8956428701927</v>
      </c>
      <c r="EC18" s="8">
        <f t="shared" si="122"/>
        <v>-1660.9977300127887</v>
      </c>
      <c r="ED18" s="8">
        <f t="shared" si="122"/>
        <v>-1627.7777754125329</v>
      </c>
      <c r="EE18" s="8">
        <f t="shared" si="122"/>
        <v>-1595.2222199042822</v>
      </c>
      <c r="EF18" s="8">
        <f t="shared" si="122"/>
        <v>-1563.3177755061965</v>
      </c>
      <c r="EG18" s="8">
        <f t="shared" si="122"/>
        <v>-1532.0514199960726</v>
      </c>
      <c r="EH18" s="8">
        <f t="shared" si="122"/>
        <v>-1501.4103915961512</v>
      </c>
      <c r="EI18" s="8">
        <f t="shared" si="122"/>
        <v>-1471.3821837642281</v>
      </c>
      <c r="EJ18" s="8">
        <f t="shared" si="122"/>
        <v>-1441.9545400889435</v>
      </c>
      <c r="EK18" s="8">
        <f t="shared" si="122"/>
        <v>-1413.1154492871647</v>
      </c>
      <c r="EL18" s="8">
        <f t="shared" si="122"/>
        <v>-1384.8531403014213</v>
      </c>
      <c r="EM18" s="8">
        <f t="shared" si="122"/>
        <v>-1357.1560774953928</v>
      </c>
      <c r="EN18" s="8">
        <f t="shared" si="122"/>
        <v>-1330.0129559454849</v>
      </c>
    </row>
    <row r="19" spans="1:144" s="4" customFormat="1" x14ac:dyDescent="0.2">
      <c r="A19" s="4" t="s">
        <v>7</v>
      </c>
      <c r="B19" s="4">
        <f t="shared" ref="B19:P19" si="123">+B18/B20</f>
        <v>-1.037976965098897</v>
      </c>
      <c r="C19" s="4">
        <f t="shared" si="123"/>
        <v>-1.2160968061806905</v>
      </c>
      <c r="D19" s="4">
        <f t="shared" si="123"/>
        <v>-1.2245433660420006</v>
      </c>
      <c r="E19" s="4">
        <f t="shared" si="123"/>
        <v>-1.260926214270466</v>
      </c>
      <c r="F19" s="4">
        <f t="shared" si="123"/>
        <v>-1.1416038004739923</v>
      </c>
      <c r="G19" s="4">
        <f t="shared" si="123"/>
        <v>-1.739459023195089</v>
      </c>
      <c r="H19" s="4">
        <f t="shared" si="123"/>
        <v>-1.2310638914773968</v>
      </c>
      <c r="I19" s="4">
        <f t="shared" si="123"/>
        <v>-0.92623918813481765</v>
      </c>
      <c r="J19" s="4">
        <f t="shared" si="123"/>
        <v>-0.77298280464511981</v>
      </c>
      <c r="K19" s="4">
        <f t="shared" si="123"/>
        <v>-0.53047574476307036</v>
      </c>
      <c r="L19" s="4">
        <f t="shared" si="123"/>
        <v>-0.39579526200229176</v>
      </c>
      <c r="M19" s="4">
        <f t="shared" si="123"/>
        <v>-0.76655837267370075</v>
      </c>
      <c r="N19" s="4">
        <f t="shared" si="123"/>
        <v>-1.1041628211130594</v>
      </c>
      <c r="O19" s="4">
        <f t="shared" si="123"/>
        <v>-0.74145307370568958</v>
      </c>
      <c r="P19" s="4">
        <f t="shared" si="123"/>
        <v>-0.13207135479176765</v>
      </c>
      <c r="S19" s="4">
        <f t="shared" ref="S19:AA19" si="124">+S18/S20</f>
        <v>-6.5374955429806114</v>
      </c>
      <c r="T19" s="4">
        <f t="shared" si="124"/>
        <v>-7.0981863229485196</v>
      </c>
      <c r="U19" s="4">
        <f t="shared" si="124"/>
        <v>-4.062628025653173</v>
      </c>
      <c r="V19" s="4">
        <f t="shared" si="124"/>
        <v>-1.9027917503193448</v>
      </c>
      <c r="W19" s="4">
        <f t="shared" si="124"/>
        <v>-3.1378197606279632</v>
      </c>
      <c r="X19" s="4">
        <f t="shared" si="124"/>
        <v>-4.525655542249635</v>
      </c>
      <c r="Y19" s="4">
        <f t="shared" si="124"/>
        <v>-4.7529676115582671</v>
      </c>
      <c r="Z19" s="4">
        <f t="shared" si="124"/>
        <v>-5.0328824418661222</v>
      </c>
      <c r="AA19" s="4">
        <f t="shared" si="124"/>
        <v>-2.4786319052249786</v>
      </c>
    </row>
    <row r="20" spans="1:144" x14ac:dyDescent="0.2">
      <c r="A20" s="1" t="s">
        <v>8</v>
      </c>
      <c r="B20" s="1">
        <v>61.361669999999997</v>
      </c>
      <c r="C20" s="1">
        <v>63.426693999999998</v>
      </c>
      <c r="D20" s="1">
        <v>66.386379000000005</v>
      </c>
      <c r="E20" s="1">
        <v>66.972990999999993</v>
      </c>
      <c r="F20" s="1">
        <v>67.706502</v>
      </c>
      <c r="G20" s="1">
        <v>68.334463999999997</v>
      </c>
      <c r="H20" s="1">
        <v>68.916813000000005</v>
      </c>
      <c r="I20" s="1">
        <v>69.525238000000002</v>
      </c>
      <c r="J20" s="1">
        <v>70.177498999999997</v>
      </c>
      <c r="K20" s="1">
        <v>70.874116999999998</v>
      </c>
      <c r="L20" s="1">
        <v>74.020593000000005</v>
      </c>
      <c r="M20" s="1">
        <v>72.349350000000001</v>
      </c>
      <c r="N20" s="1">
        <v>72.990140999999994</v>
      </c>
      <c r="O20" s="1">
        <v>73.543426999999994</v>
      </c>
      <c r="P20" s="1">
        <v>74.020593000000005</v>
      </c>
      <c r="S20" s="1">
        <v>11.240696</v>
      </c>
      <c r="T20" s="1">
        <v>12.211710999999999</v>
      </c>
      <c r="U20" s="1">
        <v>23.718391</v>
      </c>
      <c r="V20" s="1">
        <v>52.034596000000001</v>
      </c>
      <c r="W20" s="1">
        <v>55.939031999999997</v>
      </c>
      <c r="X20" s="1">
        <v>58.984603999999997</v>
      </c>
      <c r="Y20" s="1">
        <v>64.563032000000007</v>
      </c>
      <c r="Z20" s="1">
        <v>68.628266999999994</v>
      </c>
      <c r="AA20" s="1">
        <v>71.248981999999998</v>
      </c>
    </row>
    <row r="22" spans="1:144" s="3" customFormat="1" x14ac:dyDescent="0.2">
      <c r="A22" s="3" t="s">
        <v>9</v>
      </c>
      <c r="B22" s="3">
        <f t="shared" ref="B22:P22" si="125">+B9/B5</f>
        <v>0.70146657271205848</v>
      </c>
      <c r="C22" s="3">
        <f t="shared" si="125"/>
        <v>0.69457652190976471</v>
      </c>
      <c r="D22" s="3">
        <f t="shared" si="125"/>
        <v>0.69825424318952101</v>
      </c>
      <c r="E22" s="3">
        <f t="shared" si="125"/>
        <v>0.71557333373359255</v>
      </c>
      <c r="F22" s="3">
        <f t="shared" si="125"/>
        <v>0.72599116473460923</v>
      </c>
      <c r="G22" s="3">
        <f t="shared" si="125"/>
        <v>0.70928999538958049</v>
      </c>
      <c r="H22" s="3">
        <f t="shared" si="125"/>
        <v>0.71928625596110563</v>
      </c>
      <c r="I22" s="3">
        <f t="shared" si="125"/>
        <v>0.75323543087414757</v>
      </c>
      <c r="J22" s="3">
        <f t="shared" si="125"/>
        <v>0.73539426523297491</v>
      </c>
      <c r="K22" s="3">
        <f t="shared" si="125"/>
        <v>0.75144115849557924</v>
      </c>
      <c r="L22" s="3">
        <f t="shared" si="125"/>
        <v>0.75271747917715703</v>
      </c>
      <c r="M22" s="3">
        <f t="shared" si="125"/>
        <v>0.74969323278064282</v>
      </c>
      <c r="N22" s="3">
        <f t="shared" si="125"/>
        <v>0.72767949289885281</v>
      </c>
      <c r="O22" s="3">
        <f t="shared" si="125"/>
        <v>0.73174945462227237</v>
      </c>
      <c r="P22" s="3">
        <f t="shared" si="125"/>
        <v>0.74435702479338839</v>
      </c>
      <c r="S22" s="3">
        <f t="shared" ref="S22" si="126">+S9/S5</f>
        <v>0.68039404942470616</v>
      </c>
      <c r="T22" s="3">
        <f t="shared" ref="T22:U22" si="127">+T9/T5</f>
        <v>0.70533159691390912</v>
      </c>
      <c r="U22" s="3">
        <f t="shared" si="127"/>
        <v>0.72262957953390849</v>
      </c>
      <c r="V22" s="3">
        <f t="shared" ref="V22:W22" si="128">+V9/V5</f>
        <v>0.72448092998172398</v>
      </c>
      <c r="W22" s="3">
        <f t="shared" si="128"/>
        <v>0.70274739788966689</v>
      </c>
      <c r="X22" s="3">
        <f t="shared" ref="X22:Y22" si="129">+X9/X5</f>
        <v>0.7000643653240286</v>
      </c>
      <c r="Y22" s="3">
        <f t="shared" si="129"/>
        <v>0.703024324144924</v>
      </c>
      <c r="Z22" s="3">
        <f t="shared" ref="Z22:AB22" si="130">+Z9/Z5</f>
        <v>0.7279648609077598</v>
      </c>
      <c r="AA22" s="3">
        <f t="shared" si="130"/>
        <v>0.74778239714416594</v>
      </c>
      <c r="AB22" s="3">
        <f t="shared" si="130"/>
        <v>0.720881163554699</v>
      </c>
    </row>
    <row r="23" spans="1:144" s="3" customFormat="1" x14ac:dyDescent="0.2">
      <c r="A23" s="3" t="s">
        <v>10</v>
      </c>
      <c r="B23" s="3">
        <f t="shared" ref="B23:P23" si="131">+B14/B5</f>
        <v>-0.33661807451774878</v>
      </c>
      <c r="C23" s="3">
        <f t="shared" si="131"/>
        <v>-0.3649413576053977</v>
      </c>
      <c r="D23" s="3">
        <f t="shared" si="131"/>
        <v>-0.33834450600062582</v>
      </c>
      <c r="E23" s="3">
        <f t="shared" si="131"/>
        <v>-0.29501227044511308</v>
      </c>
      <c r="F23" s="3">
        <f t="shared" si="131"/>
        <v>-0.26603887937165205</v>
      </c>
      <c r="G23" s="3">
        <f t="shared" si="131"/>
        <v>-0.37819600869393383</v>
      </c>
      <c r="H23" s="3">
        <f t="shared" si="131"/>
        <v>-0.24855449746868472</v>
      </c>
      <c r="I23" s="3">
        <f t="shared" si="131"/>
        <v>-0.20189752900540248</v>
      </c>
      <c r="J23" s="3">
        <f t="shared" si="131"/>
        <v>-0.18612740306288716</v>
      </c>
      <c r="K23" s="3">
        <f t="shared" si="131"/>
        <v>-0.11563011012503802</v>
      </c>
      <c r="L23" s="3">
        <f t="shared" si="131"/>
        <v>-0.1044398967057639</v>
      </c>
      <c r="M23" s="3">
        <f t="shared" si="131"/>
        <v>-0.15494692162916321</v>
      </c>
      <c r="N23" s="3">
        <f t="shared" si="131"/>
        <v>-0.21791943821147408</v>
      </c>
      <c r="O23" s="3">
        <f t="shared" si="131"/>
        <v>-0.14942199372946335</v>
      </c>
      <c r="P23" s="3">
        <f t="shared" si="131"/>
        <v>-5.2658323494687194E-2</v>
      </c>
      <c r="S23" s="3">
        <f t="shared" ref="S23" si="132">+S14/S5</f>
        <v>-1.1143999632302248</v>
      </c>
      <c r="T23" s="3">
        <f t="shared" ref="T23:U23" si="133">+T14/T5</f>
        <v>-0.84795477416681453</v>
      </c>
      <c r="U23" s="3">
        <f t="shared" si="133"/>
        <v>-0.62948245846789053</v>
      </c>
      <c r="V23" s="3">
        <f t="shared" ref="V23:W23" si="134">+V14/V5</f>
        <v>-0.36613910776882286</v>
      </c>
      <c r="W23" s="3">
        <f t="shared" si="134"/>
        <v>-0.35064074017690594</v>
      </c>
      <c r="X23" s="3">
        <f t="shared" ref="X23:Y23" si="135">+X14/X5</f>
        <v>-0.35452420474948332</v>
      </c>
      <c r="Y23" s="3">
        <f t="shared" si="135"/>
        <v>-0.33116269275402793</v>
      </c>
      <c r="Z23" s="3">
        <f t="shared" ref="Z23:AA23" si="136">+Z14/Z5</f>
        <v>-0.26997211924862169</v>
      </c>
      <c r="AA23" s="3">
        <f t="shared" si="136"/>
        <v>-0.13887728600704344</v>
      </c>
    </row>
    <row r="24" spans="1:144" s="3" customFormat="1" x14ac:dyDescent="0.2">
      <c r="A24" s="3" t="s">
        <v>11</v>
      </c>
      <c r="B24" s="3">
        <f t="shared" ref="B24:P24" si="137">+B18/B5</f>
        <v>-0.35063419360521464</v>
      </c>
      <c r="C24" s="3">
        <f t="shared" si="137"/>
        <v>-0.38809642409696732</v>
      </c>
      <c r="D24" s="3">
        <f t="shared" si="137"/>
        <v>-0.35828782730185593</v>
      </c>
      <c r="E24" s="3">
        <f t="shared" si="137"/>
        <v>-0.31688518315609349</v>
      </c>
      <c r="F24" s="3">
        <f t="shared" si="137"/>
        <v>-0.27078231685741999</v>
      </c>
      <c r="G24" s="3">
        <f t="shared" si="137"/>
        <v>-0.39144108542448774</v>
      </c>
      <c r="H24" s="3">
        <f t="shared" si="137"/>
        <v>-0.2543035360483904</v>
      </c>
      <c r="I24" s="3">
        <f t="shared" si="137"/>
        <v>-0.17823100256841726</v>
      </c>
      <c r="J24" s="3">
        <f t="shared" si="137"/>
        <v>-0.14729553600521367</v>
      </c>
      <c r="K24" s="3">
        <f t="shared" si="137"/>
        <v>-8.8715900054507968E-2</v>
      </c>
      <c r="L24" s="3">
        <f t="shared" si="137"/>
        <v>-6.7670197580253999E-2</v>
      </c>
      <c r="M24" s="3">
        <f t="shared" si="137"/>
        <v>-0.12109117427434818</v>
      </c>
      <c r="N24" s="3">
        <f t="shared" si="137"/>
        <v>-0.17887256109605573</v>
      </c>
      <c r="O24" s="3">
        <f t="shared" si="137"/>
        <v>-0.1140513983213033</v>
      </c>
      <c r="P24" s="3">
        <f t="shared" si="137"/>
        <v>-1.8467060212514822E-2</v>
      </c>
      <c r="S24" s="3">
        <f t="shared" ref="S24" si="138">+S18/S5</f>
        <v>-1.125859876514838</v>
      </c>
      <c r="T24" s="3">
        <f t="shared" ref="T24:U24" si="139">+T18/T5</f>
        <v>-0.85519643244736454</v>
      </c>
      <c r="U24" s="3">
        <f t="shared" si="139"/>
        <v>-0.62360615846594902</v>
      </c>
      <c r="V24" s="3">
        <f t="shared" ref="V24:W24" si="140">+V18/V5</f>
        <v>-0.37080549480180963</v>
      </c>
      <c r="W24" s="3">
        <f t="shared" si="140"/>
        <v>-0.4162205126964772</v>
      </c>
      <c r="X24" s="3">
        <f t="shared" ref="X24:Y24" si="141">+X18/X5</f>
        <v>-0.45215623835495777</v>
      </c>
      <c r="Y24" s="3">
        <f t="shared" si="141"/>
        <v>-0.35119286046176273</v>
      </c>
      <c r="Z24" s="3">
        <f t="shared" ref="Z24:AA24" si="142">+Z18/Z5</f>
        <v>-0.26899317778262377</v>
      </c>
      <c r="AA24" s="3">
        <f t="shared" si="142"/>
        <v>-0.10493098381412849</v>
      </c>
    </row>
    <row r="25" spans="1:144" s="3" customFormat="1" x14ac:dyDescent="0.2">
      <c r="A25" s="3" t="s">
        <v>12</v>
      </c>
      <c r="B25" s="3">
        <f t="shared" ref="B25:P25" si="143">+B17/B16</f>
        <v>2.114710764123685E-2</v>
      </c>
      <c r="C25" s="3">
        <f t="shared" si="143"/>
        <v>-2.0345260929955693E-2</v>
      </c>
      <c r="D25" s="3">
        <f t="shared" si="143"/>
        <v>-2.8452507464197158E-2</v>
      </c>
      <c r="E25" s="3">
        <f t="shared" si="143"/>
        <v>-1.8894331700489857E-2</v>
      </c>
      <c r="F25" s="3">
        <f t="shared" si="143"/>
        <v>-1.5049640174397232E-2</v>
      </c>
      <c r="G25" s="3">
        <f t="shared" si="143"/>
        <v>-2.6326241624645998E-2</v>
      </c>
      <c r="H25" s="3">
        <f t="shared" si="143"/>
        <v>-6.3090494449038872E-2</v>
      </c>
      <c r="I25" s="3">
        <f t="shared" si="143"/>
        <v>-4.7395214937462411E-2</v>
      </c>
      <c r="J25" s="3">
        <f t="shared" si="143"/>
        <v>-4.8049614559786624E-2</v>
      </c>
      <c r="K25" s="3">
        <f t="shared" si="143"/>
        <v>-0.10550148490105565</v>
      </c>
      <c r="L25" s="3">
        <f t="shared" si="143"/>
        <v>-0.1416491310108331</v>
      </c>
      <c r="M25" s="3">
        <f t="shared" si="143"/>
        <v>-6.4777483392850277E-2</v>
      </c>
      <c r="N25" s="3">
        <f t="shared" si="143"/>
        <v>-3.3084653643029288E-2</v>
      </c>
      <c r="O25" s="3">
        <f t="shared" si="143"/>
        <v>-7.6967135408437345E-2</v>
      </c>
      <c r="P25" s="3">
        <f t="shared" si="143"/>
        <v>-0.37515825010549825</v>
      </c>
      <c r="S25" s="3">
        <f t="shared" ref="S25" si="144">+S17/S16</f>
        <v>-6.0511472537100926E-3</v>
      </c>
      <c r="T25" s="3">
        <f t="shared" ref="T25:U25" si="145">+T17/T16</f>
        <v>-8.3641609083083233E-3</v>
      </c>
      <c r="U25" s="3">
        <f t="shared" si="145"/>
        <v>-1.3537108717603503E-2</v>
      </c>
      <c r="V25" s="3">
        <f t="shared" ref="V25:W25" si="146">+V17/V16</f>
        <v>3.2424825806955999E-2</v>
      </c>
      <c r="W25" s="3">
        <f t="shared" si="146"/>
        <v>3.7234096897196438E-3</v>
      </c>
      <c r="X25" s="3">
        <f t="shared" ref="X25:Y25" si="147">+X17/X16</f>
        <v>-1.6182387806298611E-2</v>
      </c>
      <c r="Y25" s="3">
        <f t="shared" si="147"/>
        <v>-1.3130222622809015E-2</v>
      </c>
      <c r="Z25" s="3">
        <f t="shared" ref="Z25:AA25" si="148">+Z17/Z16</f>
        <v>-3.6440672880145457E-2</v>
      </c>
      <c r="AA25" s="3">
        <f t="shared" si="148"/>
        <v>-8.0016634457789962E-2</v>
      </c>
      <c r="AB25" s="3">
        <v>0.21</v>
      </c>
    </row>
    <row r="26" spans="1:144" s="3" customFormat="1" x14ac:dyDescent="0.2"/>
    <row r="27" spans="1:144" s="7" customFormat="1" x14ac:dyDescent="0.2">
      <c r="A27" s="7" t="s">
        <v>13</v>
      </c>
      <c r="F27" s="7">
        <f t="shared" ref="F27:Q27" si="149">+F5/B5-1</f>
        <v>0.57142935787897486</v>
      </c>
      <c r="G27" s="7">
        <f t="shared" si="149"/>
        <v>0.52787211882443508</v>
      </c>
      <c r="H27" s="7">
        <f t="shared" si="149"/>
        <v>0.47038912615197459</v>
      </c>
      <c r="I27" s="7">
        <f t="shared" si="149"/>
        <v>0.35579787912673444</v>
      </c>
      <c r="J27" s="7">
        <f t="shared" si="149"/>
        <v>0.29018696991035098</v>
      </c>
      <c r="K27" s="7">
        <f t="shared" si="149"/>
        <v>0.3956102219587696</v>
      </c>
      <c r="L27" s="7">
        <f t="shared" si="149"/>
        <v>0.29769409000032976</v>
      </c>
      <c r="M27" s="7">
        <f t="shared" si="149"/>
        <v>0.26760805065981752</v>
      </c>
      <c r="N27" s="7">
        <f t="shared" si="149"/>
        <v>0.22341968067774531</v>
      </c>
      <c r="O27" s="7">
        <f t="shared" si="149"/>
        <v>0.12817166952578041</v>
      </c>
      <c r="P27" s="7">
        <f t="shared" si="149"/>
        <v>0.22275013974287305</v>
      </c>
      <c r="Q27" s="7">
        <f t="shared" si="149"/>
        <v>0.13318282452915042</v>
      </c>
      <c r="T27" s="7">
        <f>+T5/S5-1</f>
        <v>0.55287953302385451</v>
      </c>
      <c r="U27" s="7">
        <f>+U5/T5-1</f>
        <v>0.52448746028927173</v>
      </c>
      <c r="V27" s="7">
        <f>+V5/U5-1</f>
        <v>0.72804638911719555</v>
      </c>
      <c r="W27" s="7">
        <f>+W5/V5-1</f>
        <v>0.57936378344368911</v>
      </c>
      <c r="X27" s="7">
        <f>+X5/W5-1</f>
        <v>0.39994887547383828</v>
      </c>
      <c r="Y27" s="7">
        <f>+Y5/X5-1</f>
        <v>0.48003319895660423</v>
      </c>
      <c r="Z27" s="7">
        <f>+Z5/Y5-1</f>
        <v>0.46951985735572488</v>
      </c>
      <c r="AA27" s="7">
        <f>+AA5/Z5-1</f>
        <v>0.31071539827419703</v>
      </c>
      <c r="AB27" s="7">
        <f>+AB5/AA5-1</f>
        <v>0.17470711718461729</v>
      </c>
      <c r="AC27" s="7">
        <f t="shared" ref="AC27:AQ27" si="150">+AC5/AB5-1</f>
        <v>0.30000000000000004</v>
      </c>
      <c r="AD27" s="7">
        <f t="shared" si="150"/>
        <v>0.30000000000000004</v>
      </c>
      <c r="AE27" s="7">
        <f t="shared" si="150"/>
        <v>0.30000000000000027</v>
      </c>
      <c r="AF27" s="7">
        <f t="shared" si="150"/>
        <v>0.30000000000000004</v>
      </c>
      <c r="AG27" s="7">
        <f t="shared" si="150"/>
        <v>0.30000000000000004</v>
      </c>
      <c r="AH27" s="7">
        <f t="shared" si="150"/>
        <v>0.30000000000000004</v>
      </c>
      <c r="AI27" s="7">
        <f t="shared" si="150"/>
        <v>0.30000000000000004</v>
      </c>
      <c r="AJ27" s="7">
        <f t="shared" si="150"/>
        <v>0.30000000000000004</v>
      </c>
      <c r="AK27" s="7">
        <f t="shared" si="150"/>
        <v>0.30000000000000004</v>
      </c>
      <c r="AL27" s="7">
        <f t="shared" si="150"/>
        <v>0.30000000000000004</v>
      </c>
      <c r="AM27" s="7">
        <f t="shared" si="150"/>
        <v>0.30000000000000027</v>
      </c>
      <c r="AN27" s="7">
        <f t="shared" si="150"/>
        <v>0.30000000000000004</v>
      </c>
      <c r="AO27" s="7">
        <f t="shared" si="150"/>
        <v>0.30000000000000004</v>
      </c>
      <c r="AP27" s="7">
        <f t="shared" si="150"/>
        <v>0.30000000000000004</v>
      </c>
      <c r="AQ27" s="7">
        <f t="shared" si="150"/>
        <v>0.30000000000000004</v>
      </c>
    </row>
    <row r="29" spans="1:144" x14ac:dyDescent="0.2">
      <c r="A29" s="1" t="s">
        <v>40</v>
      </c>
      <c r="M29" s="1">
        <f>+M30-M47</f>
        <v>872.13400000000024</v>
      </c>
      <c r="N29" s="1">
        <f>+N30-N47</f>
        <v>929.87100000000009</v>
      </c>
      <c r="O29" s="1">
        <f>+O30-O47</f>
        <v>1119.8569999999997</v>
      </c>
      <c r="P29" s="1">
        <f>+P30-P47</f>
        <v>1177.3720000000001</v>
      </c>
      <c r="S29" s="3"/>
      <c r="T29" s="3"/>
      <c r="U29" s="3"/>
      <c r="V29" s="3"/>
      <c r="W29" s="3"/>
      <c r="X29" s="3">
        <f>+X10/$X$5</f>
        <v>0.55066228530776795</v>
      </c>
      <c r="Y29" s="3">
        <f>+Y10/$Y$5</f>
        <v>0.54005461316438197</v>
      </c>
      <c r="Z29" s="3">
        <f>+Z10/$Z$5</f>
        <v>0.54453210180368217</v>
      </c>
      <c r="AA29" s="3">
        <f>+AA10/$AA$5</f>
        <v>0.46509499937908905</v>
      </c>
      <c r="AB29" s="3">
        <f>+AB10/AB5</f>
        <v>0.45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1" t="s">
        <v>87</v>
      </c>
      <c r="AS29" s="3">
        <v>-0.02</v>
      </c>
    </row>
    <row r="30" spans="1:144" x14ac:dyDescent="0.2">
      <c r="A30" s="1" t="s">
        <v>28</v>
      </c>
      <c r="M30" s="1">
        <f>802.959+1212.448</f>
        <v>2015.4070000000002</v>
      </c>
      <c r="N30" s="1">
        <f>815.704+1258.292</f>
        <v>2073.9960000000001</v>
      </c>
      <c r="O30" s="1">
        <f>1290.901+973.933</f>
        <v>2264.8339999999998</v>
      </c>
      <c r="P30" s="1">
        <f>673.054+1629.038</f>
        <v>2302.0920000000001</v>
      </c>
      <c r="S30" s="3"/>
      <c r="T30" s="3"/>
      <c r="U30" s="3"/>
      <c r="V30" s="3"/>
      <c r="W30" s="3"/>
      <c r="X30" s="3">
        <f>+X11/$X$5</f>
        <v>0.34750669060605033</v>
      </c>
      <c r="Y30" s="3">
        <f>+Y11/$Y$5</f>
        <v>0.35342911618687495</v>
      </c>
      <c r="Z30" s="3">
        <f>+Z11/$Z$5</f>
        <v>0.32841032989626495</v>
      </c>
      <c r="AA30" s="3">
        <f>+AA11/$AA$5</f>
        <v>0.30655771114983804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1" t="s">
        <v>86</v>
      </c>
      <c r="AS30" s="3">
        <v>0.09</v>
      </c>
    </row>
    <row r="31" spans="1:144" x14ac:dyDescent="0.2">
      <c r="A31" s="1" t="s">
        <v>41</v>
      </c>
      <c r="M31" s="1">
        <v>325.61</v>
      </c>
      <c r="N31" s="1">
        <v>266.02499999999998</v>
      </c>
      <c r="O31" s="1">
        <v>311.166</v>
      </c>
      <c r="P31" s="1">
        <v>334.62900000000002</v>
      </c>
      <c r="S31" s="3"/>
      <c r="T31" s="3"/>
      <c r="U31" s="3"/>
      <c r="V31" s="3"/>
      <c r="W31" s="3"/>
      <c r="X31" s="3">
        <f>+X12/$X$5</f>
        <v>0.15641959415969375</v>
      </c>
      <c r="Y31" s="3">
        <f>+Y12/$Y$5</f>
        <v>0.14070328754769496</v>
      </c>
      <c r="Z31" s="3">
        <f>+Z12/$Z$5</f>
        <v>0.12499454845643437</v>
      </c>
      <c r="AA31" s="3">
        <f>+AA12/$AA$5</f>
        <v>0.11500697262228232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1" t="s">
        <v>89</v>
      </c>
      <c r="AS31" s="3">
        <v>0.01</v>
      </c>
    </row>
    <row r="32" spans="1:144" x14ac:dyDescent="0.2">
      <c r="A32" s="1" t="s">
        <v>42</v>
      </c>
      <c r="M32" s="1">
        <v>92.512</v>
      </c>
      <c r="N32" s="1">
        <v>93.39</v>
      </c>
      <c r="O32" s="1">
        <v>97.644000000000005</v>
      </c>
      <c r="P32" s="1">
        <v>103.715</v>
      </c>
      <c r="AR32" s="1" t="s">
        <v>88</v>
      </c>
      <c r="AS32" s="1">
        <f>+NPV(AS30,AB18:EN18)</f>
        <v>-38605.987345768415</v>
      </c>
    </row>
    <row r="33" spans="1:45" x14ac:dyDescent="0.2">
      <c r="A33" s="1" t="s">
        <v>43</v>
      </c>
      <c r="M33" s="1">
        <v>50.106999999999999</v>
      </c>
      <c r="N33" s="1">
        <v>218.91399999999999</v>
      </c>
      <c r="O33" s="1">
        <v>48.402999999999999</v>
      </c>
      <c r="P33" s="1">
        <v>53.826999999999998</v>
      </c>
      <c r="AR33" s="1" t="s">
        <v>90</v>
      </c>
      <c r="AS33" s="1">
        <f>+AS32+Main!L6-Main!L7</f>
        <v>-37428.61534576842</v>
      </c>
    </row>
    <row r="34" spans="1:45" x14ac:dyDescent="0.2">
      <c r="A34" s="1" t="s">
        <v>44</v>
      </c>
      <c r="M34" s="1">
        <v>53.042000000000002</v>
      </c>
      <c r="N34" s="1">
        <v>50.213999999999999</v>
      </c>
      <c r="O34" s="1">
        <v>48.389000000000003</v>
      </c>
      <c r="P34" s="1">
        <v>47.344999999999999</v>
      </c>
      <c r="AR34" s="1" t="s">
        <v>91</v>
      </c>
      <c r="AS34" s="1">
        <f>+AS33/Main!L4</f>
        <v>-502.59588825861442</v>
      </c>
    </row>
    <row r="35" spans="1:45" x14ac:dyDescent="0.2">
      <c r="A35" s="1" t="s">
        <v>45</v>
      </c>
      <c r="M35" s="1">
        <v>37.365000000000002</v>
      </c>
      <c r="N35" s="1">
        <v>34.807000000000002</v>
      </c>
      <c r="O35" s="1">
        <v>36.872999999999998</v>
      </c>
      <c r="P35" s="1">
        <v>35.859000000000002</v>
      </c>
      <c r="AR35" s="1" t="s">
        <v>92</v>
      </c>
      <c r="AS35" s="1">
        <v>289</v>
      </c>
    </row>
    <row r="36" spans="1:45" x14ac:dyDescent="0.2">
      <c r="A36" s="1" t="s">
        <v>46</v>
      </c>
      <c r="M36" s="1">
        <f>69.679+3.957</f>
        <v>73.635999999999996</v>
      </c>
      <c r="N36" s="1">
        <f>69.679+1.303</f>
        <v>70.981999999999999</v>
      </c>
      <c r="O36" s="1">
        <f>69.679+1.133</f>
        <v>70.811999999999998</v>
      </c>
      <c r="P36" s="1">
        <f>69.679+0.963</f>
        <v>70.641999999999996</v>
      </c>
      <c r="AR36" s="1" t="s">
        <v>93</v>
      </c>
      <c r="AS36" s="3">
        <f>+AS34/AS35-1</f>
        <v>-2.7390861185419184</v>
      </c>
    </row>
    <row r="37" spans="1:45" x14ac:dyDescent="0.2">
      <c r="A37" s="1" t="s">
        <v>47</v>
      </c>
      <c r="M37" s="1">
        <v>4.1159999999999997</v>
      </c>
      <c r="N37" s="1">
        <v>4.524</v>
      </c>
      <c r="O37" s="1">
        <v>4.7649999999999997</v>
      </c>
      <c r="P37" s="1">
        <v>5.5750000000000002</v>
      </c>
    </row>
    <row r="38" spans="1:45" x14ac:dyDescent="0.2">
      <c r="A38" s="1" t="s">
        <v>48</v>
      </c>
      <c r="M38" s="1">
        <v>217.84700000000001</v>
      </c>
      <c r="N38" s="1">
        <v>221.577</v>
      </c>
      <c r="O38" s="1">
        <v>248.34399999999999</v>
      </c>
      <c r="P38" s="1">
        <v>271.101</v>
      </c>
    </row>
    <row r="39" spans="1:45" s="8" customFormat="1" x14ac:dyDescent="0.2">
      <c r="A39" s="8" t="s">
        <v>49</v>
      </c>
      <c r="M39" s="8">
        <f>+SUM(M30:M38)</f>
        <v>2869.6420000000003</v>
      </c>
      <c r="N39" s="8">
        <f>+SUM(N30:N38)</f>
        <v>3034.4289999999992</v>
      </c>
      <c r="O39" s="8">
        <f>+SUM(O30:O38)</f>
        <v>3131.23</v>
      </c>
      <c r="P39" s="8">
        <f>+SUM(P30:P38)</f>
        <v>3224.7849999999994</v>
      </c>
    </row>
    <row r="41" spans="1:45" x14ac:dyDescent="0.2">
      <c r="A41" s="1" t="s">
        <v>50</v>
      </c>
      <c r="M41" s="1">
        <v>9.9049999999999994</v>
      </c>
      <c r="N41" s="1">
        <v>9.3490000000000002</v>
      </c>
      <c r="O41" s="1">
        <v>10.135</v>
      </c>
      <c r="P41" s="1">
        <v>11.444000000000001</v>
      </c>
    </row>
    <row r="42" spans="1:45" x14ac:dyDescent="0.2">
      <c r="A42" s="1" t="s">
        <v>51</v>
      </c>
      <c r="M42" s="1">
        <v>112.57899999999999</v>
      </c>
      <c r="N42" s="1">
        <v>110.23399999999999</v>
      </c>
      <c r="O42" s="1">
        <v>112.063</v>
      </c>
      <c r="P42" s="1">
        <v>120.598</v>
      </c>
    </row>
    <row r="43" spans="1:45" x14ac:dyDescent="0.2">
      <c r="A43" s="1" t="s">
        <v>52</v>
      </c>
      <c r="M43" s="1">
        <f>9.797+30.918</f>
        <v>40.715000000000003</v>
      </c>
      <c r="N43" s="1">
        <f>9.881+28.417</f>
        <v>38.298000000000002</v>
      </c>
      <c r="O43" s="1">
        <f>11.048+28.877</f>
        <v>39.924999999999997</v>
      </c>
      <c r="P43" s="1">
        <f>10.787+27.639</f>
        <v>38.426000000000002</v>
      </c>
    </row>
    <row r="44" spans="1:45" x14ac:dyDescent="0.2">
      <c r="A44" s="1" t="s">
        <v>53</v>
      </c>
      <c r="M44" s="1">
        <v>74.930999999999997</v>
      </c>
      <c r="N44" s="1">
        <v>84.11</v>
      </c>
      <c r="O44" s="1">
        <v>100.795</v>
      </c>
      <c r="P44" s="1">
        <v>86.795000000000002</v>
      </c>
    </row>
    <row r="45" spans="1:45" x14ac:dyDescent="0.2">
      <c r="A45" s="1" t="s">
        <v>54</v>
      </c>
      <c r="M45" s="1">
        <f>357.108+20.296</f>
        <v>377.404</v>
      </c>
      <c r="N45" s="1">
        <f>323.92+16.21</f>
        <v>340.13</v>
      </c>
      <c r="O45" s="1">
        <f>307.114+15.612</f>
        <v>322.726</v>
      </c>
      <c r="P45" s="1">
        <f>286.431+18.481</f>
        <v>304.91199999999998</v>
      </c>
    </row>
    <row r="46" spans="1:45" x14ac:dyDescent="0.2">
      <c r="A46" s="1" t="s">
        <v>55</v>
      </c>
      <c r="M46" s="1">
        <v>0.28499999999999998</v>
      </c>
      <c r="N46" s="1">
        <v>0.77</v>
      </c>
      <c r="O46" s="1">
        <v>1.0609999999999999</v>
      </c>
      <c r="P46" s="1">
        <v>1.03</v>
      </c>
    </row>
    <row r="47" spans="1:45" x14ac:dyDescent="0.2">
      <c r="A47" s="1" t="s">
        <v>29</v>
      </c>
      <c r="M47" s="1">
        <v>1143.2729999999999</v>
      </c>
      <c r="N47" s="1">
        <v>1144.125</v>
      </c>
      <c r="O47" s="1">
        <v>1144.9770000000001</v>
      </c>
      <c r="P47" s="1">
        <v>1124.72</v>
      </c>
    </row>
    <row r="48" spans="1:45" x14ac:dyDescent="0.2">
      <c r="A48" s="1" t="s">
        <v>56</v>
      </c>
      <c r="M48" s="1">
        <v>41.661000000000001</v>
      </c>
      <c r="N48" s="1">
        <v>38.156999999999996</v>
      </c>
      <c r="O48" s="1">
        <v>36.500999999999998</v>
      </c>
      <c r="P48" s="1">
        <v>34.884</v>
      </c>
    </row>
    <row r="49" spans="1:27" s="8" customFormat="1" x14ac:dyDescent="0.2">
      <c r="A49" s="8" t="s">
        <v>59</v>
      </c>
      <c r="M49" s="8">
        <f>+SUM(M41:M48)</f>
        <v>1800.7529999999999</v>
      </c>
      <c r="N49" s="8">
        <f>+SUM(N41:N48)</f>
        <v>1765.173</v>
      </c>
      <c r="O49" s="8">
        <f>+SUM(O41:O48)</f>
        <v>1768.1830000000002</v>
      </c>
      <c r="P49" s="8">
        <f>+SUM(P41:P48)</f>
        <v>1722.809</v>
      </c>
    </row>
    <row r="50" spans="1:27" x14ac:dyDescent="0.2">
      <c r="A50" s="1" t="s">
        <v>57</v>
      </c>
      <c r="M50" s="1">
        <v>1068.989</v>
      </c>
      <c r="N50" s="1">
        <v>1269.2560000000001</v>
      </c>
      <c r="O50" s="1">
        <v>1363.047</v>
      </c>
      <c r="P50" s="1">
        <v>1501.9760000000001</v>
      </c>
    </row>
    <row r="51" spans="1:27" x14ac:dyDescent="0.2">
      <c r="A51" s="1" t="s">
        <v>58</v>
      </c>
      <c r="M51" s="1">
        <f>+M50+M49</f>
        <v>2869.7420000000002</v>
      </c>
      <c r="N51" s="1">
        <f>+N50+N49</f>
        <v>3034.4290000000001</v>
      </c>
      <c r="O51" s="1">
        <f>+O50+O49</f>
        <v>3131.2300000000005</v>
      </c>
      <c r="P51" s="1">
        <f>+P50+P49</f>
        <v>3224.7849999999999</v>
      </c>
    </row>
    <row r="53" spans="1:27" x14ac:dyDescent="0.2">
      <c r="A53" s="1" t="s">
        <v>60</v>
      </c>
      <c r="N53" s="1">
        <f>+N18</f>
        <v>-80.592999999999975</v>
      </c>
      <c r="O53" s="1">
        <f>+O18</f>
        <v>-54.528999999999996</v>
      </c>
      <c r="P53" s="1">
        <f>+P18</f>
        <v>-9.7760000000000336</v>
      </c>
      <c r="S53" s="1">
        <f t="shared" ref="S53:U53" si="151">+S18</f>
        <v>-73.48599999999999</v>
      </c>
      <c r="T53" s="1">
        <f t="shared" si="151"/>
        <v>-86.680999999999983</v>
      </c>
      <c r="U53" s="1">
        <f t="shared" si="151"/>
        <v>-96.35899999999998</v>
      </c>
      <c r="V53" s="1">
        <f>+V18</f>
        <v>-99.010999999999981</v>
      </c>
      <c r="W53" s="1">
        <f>+W18</f>
        <v>-175.52659999999997</v>
      </c>
      <c r="X53" s="1">
        <f>+X18</f>
        <v>-266.94399999999996</v>
      </c>
      <c r="Y53" s="1">
        <f>+Y18</f>
        <v>-306.86599999999999</v>
      </c>
      <c r="Z53" s="1">
        <f>+Z18</f>
        <v>-345.3980000000002</v>
      </c>
      <c r="AA53" s="1">
        <f>+AA18</f>
        <v>-176.60000000000019</v>
      </c>
    </row>
    <row r="54" spans="1:27" x14ac:dyDescent="0.2">
      <c r="A54" s="1" t="s">
        <v>61</v>
      </c>
      <c r="N54" s="1">
        <v>-80.593000000000004</v>
      </c>
      <c r="O54" s="1">
        <v>-54.529000000000003</v>
      </c>
      <c r="P54" s="1">
        <v>-9.7759999999999998</v>
      </c>
      <c r="S54" s="1">
        <v>-73.486000000000004</v>
      </c>
      <c r="T54" s="1">
        <v>-86.680999999999997</v>
      </c>
      <c r="U54" s="1">
        <v>-96.358999999999995</v>
      </c>
      <c r="V54" s="1">
        <v>-99.010999999999996</v>
      </c>
      <c r="W54" s="1">
        <v>-175.52199999999999</v>
      </c>
      <c r="X54" s="1">
        <v>-266.94400000000002</v>
      </c>
      <c r="Y54" s="1">
        <v>-306.86599999999999</v>
      </c>
      <c r="Z54" s="1">
        <v>345.39800000000002</v>
      </c>
      <c r="AA54" s="1">
        <v>-176.6</v>
      </c>
    </row>
    <row r="55" spans="1:27" x14ac:dyDescent="0.2">
      <c r="A55" s="1" t="s">
        <v>62</v>
      </c>
      <c r="N55" s="1">
        <v>4.8259999999999996</v>
      </c>
      <c r="O55" s="1">
        <v>2.3490000000000002</v>
      </c>
      <c r="P55" s="1">
        <v>2.4049999999999998</v>
      </c>
    </row>
    <row r="56" spans="1:27" x14ac:dyDescent="0.2">
      <c r="A56" s="1" t="s">
        <v>63</v>
      </c>
      <c r="N56" s="1">
        <v>120.76300000000001</v>
      </c>
      <c r="O56" s="1">
        <v>122.423</v>
      </c>
      <c r="P56" s="1">
        <v>125.712</v>
      </c>
      <c r="S56" s="1">
        <v>12.787000000000001</v>
      </c>
      <c r="T56" s="1">
        <v>21.004000000000001</v>
      </c>
      <c r="U56" s="1">
        <v>21.234999999999999</v>
      </c>
      <c r="V56" s="1">
        <v>37.402999999999999</v>
      </c>
      <c r="W56" s="1">
        <v>75.775999999999996</v>
      </c>
      <c r="X56" s="1">
        <v>149.31299999999999</v>
      </c>
      <c r="Y56" s="1">
        <v>251.06899999999999</v>
      </c>
      <c r="Z56" s="1">
        <v>381.45400000000001</v>
      </c>
      <c r="AA56" s="1">
        <v>456.90699999999998</v>
      </c>
    </row>
    <row r="57" spans="1:27" x14ac:dyDescent="0.2">
      <c r="A57" s="1" t="s">
        <v>64</v>
      </c>
      <c r="N57" s="1">
        <f>0.852+0.993+2.479</f>
        <v>4.3239999999999998</v>
      </c>
      <c r="O57" s="1">
        <f>0.852+0.994+2.592</f>
        <v>4.4380000000000006</v>
      </c>
      <c r="P57" s="1">
        <f>0.715+0.994+3.229</f>
        <v>4.9380000000000006</v>
      </c>
    </row>
    <row r="58" spans="1:27" x14ac:dyDescent="0.2">
      <c r="A58" s="1" t="s">
        <v>65</v>
      </c>
      <c r="N58" s="1">
        <v>7.0000000000000001E-3</v>
      </c>
      <c r="O58" s="1">
        <v>1.9E-2</v>
      </c>
      <c r="P58" s="1">
        <v>-0.82499999999999996</v>
      </c>
    </row>
    <row r="59" spans="1:27" x14ac:dyDescent="0.2">
      <c r="A59" s="1" t="s">
        <v>66</v>
      </c>
      <c r="N59" s="1">
        <f>-7.781-0.479+0.115</f>
        <v>-8.1449999999999996</v>
      </c>
      <c r="O59" s="1">
        <f>-5.68-0.373+1.089</f>
        <v>-4.9640000000000004</v>
      </c>
      <c r="P59" s="1">
        <f>-5.656-0.338+0.788</f>
        <v>-5.2059999999999995</v>
      </c>
    </row>
    <row r="60" spans="1:27" x14ac:dyDescent="0.2">
      <c r="A60" s="1" t="s">
        <v>67</v>
      </c>
      <c r="N60" s="1">
        <f>59.326+1.233-4.82+0.166-0.547+6.526-2.185-37.431+0.163</f>
        <v>22.431000000000001</v>
      </c>
      <c r="O60" s="1">
        <f>-46.027+0.179-15.153-9.475+0.746+22.687-3.183-16.882-3.996</f>
        <v>-71.103999999999999</v>
      </c>
      <c r="P60" s="1">
        <f>-24.557-1.964-18.821-8.395+1.37-6.719-3.777-17.039+0.092</f>
        <v>-79.81</v>
      </c>
    </row>
    <row r="61" spans="1:27" s="8" customFormat="1" x14ac:dyDescent="0.2">
      <c r="A61" s="8" t="s">
        <v>68</v>
      </c>
      <c r="N61" s="8">
        <f>+SUM(N54:N60)</f>
        <v>63.612999999999985</v>
      </c>
      <c r="O61" s="8">
        <f>+SUM(O54:O60)</f>
        <v>-1.367999999999995</v>
      </c>
      <c r="P61" s="8">
        <f>+SUM(P54:P60)</f>
        <v>37.438000000000002</v>
      </c>
      <c r="S61" s="8">
        <v>-46.960999999999999</v>
      </c>
      <c r="T61" s="8">
        <v>-38.078000000000003</v>
      </c>
      <c r="U61" s="8">
        <v>-44.881</v>
      </c>
      <c r="V61" s="8">
        <v>-41.988999999999997</v>
      </c>
      <c r="W61" s="8">
        <v>-29.54</v>
      </c>
      <c r="X61" s="8">
        <v>-42.673000000000002</v>
      </c>
      <c r="Y61" s="8">
        <v>6.98</v>
      </c>
      <c r="Z61" s="8">
        <v>-12.97</v>
      </c>
      <c r="AA61" s="8">
        <v>121.477</v>
      </c>
    </row>
    <row r="63" spans="1:27" x14ac:dyDescent="0.2">
      <c r="A63" s="1" t="s">
        <v>69</v>
      </c>
      <c r="N63" s="1">
        <v>-0.53900000000000003</v>
      </c>
      <c r="O63" s="1">
        <v>-0.53900000000000003</v>
      </c>
      <c r="P63" s="1">
        <v>-1.9810000000000001</v>
      </c>
      <c r="S63" s="1">
        <v>-0.46800000000000003</v>
      </c>
      <c r="T63" s="1">
        <v>-1.6830000000000001</v>
      </c>
      <c r="U63" s="1">
        <v>-2.1349999999999998</v>
      </c>
      <c r="V63" s="1">
        <v>-6.8479999999999999</v>
      </c>
      <c r="W63" s="1">
        <v>-3.5640000000000001</v>
      </c>
      <c r="X63" s="1">
        <v>-11.773</v>
      </c>
      <c r="Y63" s="1">
        <v>-8.0719999999999992</v>
      </c>
      <c r="Z63" s="1">
        <v>-7.2439999999999998</v>
      </c>
      <c r="AA63" s="1">
        <v>-6.0739999999999998</v>
      </c>
    </row>
    <row r="64" spans="1:27" x14ac:dyDescent="0.2">
      <c r="A64" s="1" t="s">
        <v>70</v>
      </c>
      <c r="N64" s="1">
        <f>125-172.604</f>
        <v>-47.604000000000013</v>
      </c>
      <c r="O64" s="1">
        <f>125-172.604</f>
        <v>-47.604000000000013</v>
      </c>
      <c r="P64" s="1">
        <f>-0.25+135-786.17</f>
        <v>-651.41999999999996</v>
      </c>
    </row>
    <row r="65" spans="1:27" x14ac:dyDescent="0.2">
      <c r="A65" s="1" t="s">
        <v>71</v>
      </c>
      <c r="N65" s="1">
        <f>+SUM(N63:N64)</f>
        <v>-48.143000000000015</v>
      </c>
      <c r="O65" s="1">
        <f>+SUM(O63:O64)</f>
        <v>-48.143000000000015</v>
      </c>
      <c r="P65" s="1">
        <f>+SUM(P63:P64)</f>
        <v>-653.40099999999995</v>
      </c>
    </row>
    <row r="67" spans="1:27" x14ac:dyDescent="0.2">
      <c r="A67" s="1" t="s">
        <v>72</v>
      </c>
      <c r="N67" s="1">
        <v>0.95299999999999996</v>
      </c>
      <c r="O67" s="1">
        <v>0.95299999999999996</v>
      </c>
      <c r="P67" s="1">
        <v>0.95299999999999996</v>
      </c>
    </row>
    <row r="68" spans="1:27" x14ac:dyDescent="0.2">
      <c r="A68" s="1" t="s">
        <v>73</v>
      </c>
      <c r="N68" s="1">
        <v>0</v>
      </c>
      <c r="O68" s="1">
        <v>0</v>
      </c>
      <c r="P68" s="1">
        <v>0</v>
      </c>
    </row>
    <row r="69" spans="1:27" x14ac:dyDescent="0.2">
      <c r="A69" s="1" t="s">
        <v>45</v>
      </c>
      <c r="N69" s="1">
        <v>-2.093</v>
      </c>
      <c r="O69" s="1">
        <v>-2.093</v>
      </c>
      <c r="P69" s="1">
        <v>-2.093</v>
      </c>
    </row>
    <row r="70" spans="1:27" x14ac:dyDescent="0.2">
      <c r="A70" s="1" t="s">
        <v>74</v>
      </c>
      <c r="N70" s="1">
        <f>+SUM(N67:N69)</f>
        <v>-1.1400000000000001</v>
      </c>
      <c r="O70" s="1">
        <f>+SUM(O67:O69)</f>
        <v>-1.1400000000000001</v>
      </c>
      <c r="P70" s="1">
        <f>+SUM(P67:P69)</f>
        <v>-1.1400000000000001</v>
      </c>
    </row>
    <row r="71" spans="1:27" x14ac:dyDescent="0.2">
      <c r="A71" s="1" t="s">
        <v>75</v>
      </c>
      <c r="N71" s="1">
        <v>-1.583</v>
      </c>
      <c r="O71" s="1">
        <v>-1.583</v>
      </c>
      <c r="P71" s="1">
        <v>-1.583</v>
      </c>
    </row>
    <row r="72" spans="1:27" x14ac:dyDescent="0.2">
      <c r="A72" s="1" t="s">
        <v>81</v>
      </c>
      <c r="N72" s="1">
        <f>+N61+N65+N70+N71</f>
        <v>12.74699999999997</v>
      </c>
      <c r="O72" s="1">
        <f>+O61+O65+O70+O71</f>
        <v>-52.234000000000009</v>
      </c>
      <c r="P72" s="1">
        <f>+P61+P65+P70+P71</f>
        <v>-618.68599999999992</v>
      </c>
    </row>
    <row r="74" spans="1:27" x14ac:dyDescent="0.2">
      <c r="A74" s="1" t="s">
        <v>77</v>
      </c>
      <c r="N74" s="1">
        <f>+N61+N63</f>
        <v>63.073999999999984</v>
      </c>
      <c r="O74" s="1">
        <f>+O61+O63</f>
        <v>-1.9069999999999951</v>
      </c>
      <c r="P74" s="1">
        <f>+P61+P63</f>
        <v>35.457000000000001</v>
      </c>
      <c r="S74" s="1">
        <f t="shared" ref="S74:U74" si="152">+S61+S63</f>
        <v>-47.429000000000002</v>
      </c>
      <c r="T74" s="1">
        <f t="shared" si="152"/>
        <v>-39.761000000000003</v>
      </c>
      <c r="U74" s="1">
        <f t="shared" si="152"/>
        <v>-47.015999999999998</v>
      </c>
      <c r="V74" s="1">
        <f>+V61+V63</f>
        <v>-48.836999999999996</v>
      </c>
      <c r="W74" s="1">
        <f>+W61+W63</f>
        <v>-33.103999999999999</v>
      </c>
      <c r="X74" s="1">
        <f>+X61+X63</f>
        <v>-54.445999999999998</v>
      </c>
      <c r="Y74" s="1">
        <f>+Y61+Y63</f>
        <v>-1.0919999999999987</v>
      </c>
      <c r="Z74" s="1">
        <f>+Z61+Z63</f>
        <v>-20.213999999999999</v>
      </c>
      <c r="AA74" s="1">
        <f>+AA61+AA63</f>
        <v>115.40300000000001</v>
      </c>
    </row>
    <row r="75" spans="1:27" x14ac:dyDescent="0.2">
      <c r="A75" s="1" t="s">
        <v>78</v>
      </c>
      <c r="N75" s="1">
        <f>+SUM(N74:Q74)</f>
        <v>96.623999999999995</v>
      </c>
      <c r="O75" s="1">
        <f>+SUM(O74:R74)</f>
        <v>33.550000000000004</v>
      </c>
      <c r="P75" s="1">
        <f>+SUM(P74:R74)</f>
        <v>35.457000000000001</v>
      </c>
    </row>
    <row r="77" spans="1:27" x14ac:dyDescent="0.2">
      <c r="A77" s="1" t="s">
        <v>79</v>
      </c>
      <c r="N77" s="1">
        <f>+N61-N56</f>
        <v>-57.15000000000002</v>
      </c>
      <c r="O77" s="1">
        <f>+O61-O56</f>
        <v>-123.791</v>
      </c>
      <c r="P77" s="1">
        <f>+P61-P56</f>
        <v>-88.274000000000001</v>
      </c>
      <c r="S77" s="1">
        <f t="shared" ref="S77:U77" si="153">+S61-S56</f>
        <v>-59.747999999999998</v>
      </c>
      <c r="T77" s="1">
        <f t="shared" si="153"/>
        <v>-59.082000000000008</v>
      </c>
      <c r="U77" s="1">
        <f t="shared" si="153"/>
        <v>-66.116</v>
      </c>
      <c r="V77" s="1">
        <f>+V61-V56</f>
        <v>-79.391999999999996</v>
      </c>
      <c r="W77" s="1">
        <f>+W61-W56</f>
        <v>-105.316</v>
      </c>
      <c r="X77" s="1">
        <f>+X61-X56</f>
        <v>-191.98599999999999</v>
      </c>
      <c r="Y77" s="1">
        <f>+Y61-Y56</f>
        <v>-244.089</v>
      </c>
      <c r="Z77" s="1">
        <f>+Z61-Z56</f>
        <v>-394.42400000000004</v>
      </c>
      <c r="AA77" s="1">
        <f>+AA61-AA56</f>
        <v>-335.42999999999995</v>
      </c>
    </row>
    <row r="78" spans="1:27" x14ac:dyDescent="0.2">
      <c r="A78" s="1" t="s">
        <v>80</v>
      </c>
      <c r="N78" s="1">
        <f>+SUM(N77:Q77)</f>
        <v>-269.21500000000003</v>
      </c>
      <c r="O78" s="1">
        <f>+SUM(O77:R77)</f>
        <v>-212.065</v>
      </c>
      <c r="P78" s="1">
        <f>+SUM(P77:R77)</f>
        <v>-88.274000000000001</v>
      </c>
    </row>
    <row r="80" spans="1:27" x14ac:dyDescent="0.2">
      <c r="A80" s="1" t="s">
        <v>76</v>
      </c>
      <c r="N80" s="1">
        <v>5213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2024-12-12T19:38:46Z</dcterms:created>
  <dcterms:modified xsi:type="dcterms:W3CDTF">2024-12-13T11:32:58Z</dcterms:modified>
</cp:coreProperties>
</file>