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Food Major Diversified\"/>
    </mc:Choice>
  </mc:AlternateContent>
  <xr:revisionPtr revIDLastSave="0" documentId="13_ncr:1_{388AF8D5-0F5F-4B45-9B5F-A02DF2A9F271}" xr6:coauthVersionLast="47" xr6:coauthVersionMax="47" xr10:uidLastSave="{00000000-0000-0000-0000-000000000000}"/>
  <bookViews>
    <workbookView xWindow="28680" yWindow="-120" windowWidth="29040" windowHeight="15840" activeTab="1" xr2:uid="{D5A781A8-FCA9-48A2-A844-EE390A6104D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2" l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H6" i="2"/>
  <c r="AJ4" i="2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I4" i="2"/>
  <c r="AH4" i="2"/>
  <c r="AI3" i="2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H3" i="2"/>
  <c r="AG4" i="2"/>
  <c r="AG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P16" i="2"/>
  <c r="O16" i="2"/>
  <c r="N16" i="2"/>
  <c r="M16" i="2"/>
  <c r="L16" i="2"/>
  <c r="K16" i="2"/>
  <c r="J16" i="2"/>
  <c r="I16" i="2"/>
  <c r="AG3" i="2" l="1"/>
  <c r="U13" i="2"/>
  <c r="U21" i="2"/>
  <c r="T13" i="2"/>
  <c r="T5" i="2"/>
  <c r="T7" i="2" s="1"/>
  <c r="V13" i="2"/>
  <c r="W13" i="2"/>
  <c r="U5" i="2"/>
  <c r="U15" i="2" s="1"/>
  <c r="V21" i="2"/>
  <c r="V5" i="2"/>
  <c r="V15" i="2" s="1"/>
  <c r="W21" i="2"/>
  <c r="W5" i="2"/>
  <c r="W7" i="2" s="1"/>
  <c r="Y13" i="2"/>
  <c r="Z13" i="2"/>
  <c r="X21" i="2"/>
  <c r="X13" i="2"/>
  <c r="X5" i="2"/>
  <c r="X7" i="2" s="1"/>
  <c r="Y5" i="2"/>
  <c r="Y15" i="2" s="1"/>
  <c r="Z21" i="2"/>
  <c r="Z5" i="2"/>
  <c r="Z15" i="2" s="1"/>
  <c r="AB13" i="2"/>
  <c r="AC13" i="2"/>
  <c r="AA21" i="2"/>
  <c r="AA13" i="2"/>
  <c r="AA5" i="2"/>
  <c r="AA15" i="2" s="1"/>
  <c r="AB21" i="2"/>
  <c r="AB5" i="2"/>
  <c r="AB7" i="2" s="1"/>
  <c r="AC21" i="2"/>
  <c r="AC5" i="2"/>
  <c r="AC7" i="2" s="1"/>
  <c r="AF13" i="2"/>
  <c r="AE13" i="2"/>
  <c r="AD21" i="2"/>
  <c r="AD13" i="2"/>
  <c r="AD5" i="2"/>
  <c r="AD7" i="2" s="1"/>
  <c r="AE21" i="2"/>
  <c r="AE5" i="2"/>
  <c r="AE7" i="2" s="1"/>
  <c r="AF21" i="2"/>
  <c r="AF5" i="2"/>
  <c r="AF7" i="2" s="1"/>
  <c r="O56" i="2"/>
  <c r="P56" i="2" s="1"/>
  <c r="O55" i="2"/>
  <c r="P55" i="2" s="1"/>
  <c r="O63" i="2"/>
  <c r="P63" i="2" s="1"/>
  <c r="O62" i="2"/>
  <c r="P62" i="2" s="1"/>
  <c r="O60" i="2"/>
  <c r="P60" i="2" s="1"/>
  <c r="O58" i="2"/>
  <c r="P58" i="2" s="1"/>
  <c r="N65" i="2"/>
  <c r="L10" i="1"/>
  <c r="P37" i="2"/>
  <c r="P24" i="2" s="1"/>
  <c r="P23" i="2" s="1"/>
  <c r="P31" i="2"/>
  <c r="P26" i="2"/>
  <c r="O37" i="2"/>
  <c r="O24" i="2" s="1"/>
  <c r="O31" i="2"/>
  <c r="O26" i="2"/>
  <c r="N37" i="2"/>
  <c r="N47" i="2" s="1"/>
  <c r="N49" i="2" s="1"/>
  <c r="N31" i="2"/>
  <c r="N26" i="2"/>
  <c r="I13" i="2"/>
  <c r="I21" i="2"/>
  <c r="I5" i="2"/>
  <c r="I15" i="2" s="1"/>
  <c r="M13" i="2"/>
  <c r="M21" i="2"/>
  <c r="M5" i="2"/>
  <c r="M7" i="2" s="1"/>
  <c r="J21" i="2"/>
  <c r="J13" i="2"/>
  <c r="J5" i="2"/>
  <c r="J7" i="2" s="1"/>
  <c r="N13" i="2"/>
  <c r="N21" i="2"/>
  <c r="N5" i="2"/>
  <c r="N7" i="2" s="1"/>
  <c r="K21" i="2"/>
  <c r="K13" i="2"/>
  <c r="K5" i="2"/>
  <c r="K7" i="2" s="1"/>
  <c r="O13" i="2"/>
  <c r="O21" i="2"/>
  <c r="O5" i="2"/>
  <c r="O7" i="2" s="1"/>
  <c r="L21" i="2"/>
  <c r="L13" i="2"/>
  <c r="L5" i="2"/>
  <c r="L7" i="2" s="1"/>
  <c r="P21" i="2"/>
  <c r="P13" i="2"/>
  <c r="P5" i="2"/>
  <c r="P7" i="2" s="1"/>
  <c r="D6" i="1"/>
  <c r="D5" i="1"/>
  <c r="D4" i="1"/>
  <c r="D3" i="1"/>
  <c r="C7" i="1"/>
  <c r="L8" i="1"/>
  <c r="L7" i="1"/>
  <c r="L5" i="1"/>
  <c r="X2" i="2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G16" i="2" l="1"/>
  <c r="AG13" i="2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R13" i="2"/>
  <c r="AG5" i="2"/>
  <c r="AG7" i="2" s="1"/>
  <c r="AF24" i="2"/>
  <c r="AG21" i="2"/>
  <c r="AH21" i="2"/>
  <c r="Q3" i="2"/>
  <c r="Q21" i="2" s="1"/>
  <c r="T17" i="2"/>
  <c r="T9" i="2"/>
  <c r="T15" i="2"/>
  <c r="P36" i="2"/>
  <c r="O47" i="2"/>
  <c r="O49" i="2" s="1"/>
  <c r="O36" i="2"/>
  <c r="U7" i="2"/>
  <c r="V7" i="2"/>
  <c r="V9" i="2" s="1"/>
  <c r="V11" i="2" s="1"/>
  <c r="N36" i="2"/>
  <c r="P47" i="2"/>
  <c r="P49" i="2" s="1"/>
  <c r="W17" i="2"/>
  <c r="W9" i="2"/>
  <c r="W15" i="2"/>
  <c r="X17" i="2"/>
  <c r="X9" i="2"/>
  <c r="X15" i="2"/>
  <c r="Y7" i="2"/>
  <c r="Z7" i="2"/>
  <c r="AA7" i="2"/>
  <c r="AB9" i="2"/>
  <c r="AB17" i="2"/>
  <c r="AB15" i="2"/>
  <c r="AC9" i="2"/>
  <c r="AC17" i="2"/>
  <c r="AC15" i="2"/>
  <c r="AD9" i="2"/>
  <c r="AD17" i="2"/>
  <c r="AD15" i="2"/>
  <c r="AE17" i="2"/>
  <c r="AE9" i="2"/>
  <c r="AE15" i="2"/>
  <c r="AF17" i="2"/>
  <c r="AF9" i="2"/>
  <c r="AF15" i="2"/>
  <c r="P65" i="2"/>
  <c r="O65" i="2"/>
  <c r="N24" i="2"/>
  <c r="P9" i="2"/>
  <c r="P17" i="2"/>
  <c r="P15" i="2"/>
  <c r="I7" i="2"/>
  <c r="I17" i="2" s="1"/>
  <c r="M9" i="2"/>
  <c r="M17" i="2"/>
  <c r="M15" i="2"/>
  <c r="J17" i="2"/>
  <c r="J9" i="2"/>
  <c r="J15" i="2"/>
  <c r="N17" i="2"/>
  <c r="N9" i="2"/>
  <c r="N15" i="2"/>
  <c r="K9" i="2"/>
  <c r="K17" i="2"/>
  <c r="K15" i="2"/>
  <c r="O9" i="2"/>
  <c r="O17" i="2"/>
  <c r="O15" i="2"/>
  <c r="L9" i="2"/>
  <c r="L17" i="2"/>
  <c r="L15" i="2"/>
  <c r="AH5" i="2" l="1"/>
  <c r="AH7" i="2" s="1"/>
  <c r="AH17" i="2" s="1"/>
  <c r="AH16" i="2"/>
  <c r="AI21" i="2"/>
  <c r="AZ19" i="2"/>
  <c r="AG8" i="2"/>
  <c r="AG15" i="2"/>
  <c r="Q65" i="2"/>
  <c r="Q66" i="2" s="1"/>
  <c r="T19" i="2"/>
  <c r="T11" i="2"/>
  <c r="U17" i="2"/>
  <c r="U9" i="2"/>
  <c r="V17" i="2"/>
  <c r="V19" i="2"/>
  <c r="V18" i="2"/>
  <c r="V12" i="2"/>
  <c r="W19" i="2"/>
  <c r="W11" i="2"/>
  <c r="X19" i="2"/>
  <c r="X11" i="2"/>
  <c r="Y17" i="2"/>
  <c r="Y9" i="2"/>
  <c r="Z9" i="2"/>
  <c r="Z17" i="2"/>
  <c r="AA17" i="2"/>
  <c r="AA9" i="2"/>
  <c r="AB19" i="2"/>
  <c r="AB11" i="2"/>
  <c r="AC19" i="2"/>
  <c r="AC11" i="2"/>
  <c r="AD19" i="2"/>
  <c r="AD11" i="2"/>
  <c r="AE19" i="2"/>
  <c r="AE11" i="2"/>
  <c r="AF19" i="2"/>
  <c r="AF11" i="2"/>
  <c r="P11" i="2"/>
  <c r="P54" i="2" s="1"/>
  <c r="P19" i="2"/>
  <c r="I9" i="2"/>
  <c r="I11" i="2" s="1"/>
  <c r="I19" i="2"/>
  <c r="M19" i="2"/>
  <c r="M11" i="2"/>
  <c r="J19" i="2"/>
  <c r="J11" i="2"/>
  <c r="N19" i="2"/>
  <c r="N11" i="2"/>
  <c r="N54" i="2" s="1"/>
  <c r="K19" i="2"/>
  <c r="K11" i="2"/>
  <c r="O11" i="2"/>
  <c r="O54" i="2" s="1"/>
  <c r="O19" i="2"/>
  <c r="L19" i="2"/>
  <c r="L11" i="2"/>
  <c r="AH15" i="2" l="1"/>
  <c r="AI5" i="2"/>
  <c r="AI15" i="2" s="1"/>
  <c r="AI16" i="2"/>
  <c r="AG17" i="2"/>
  <c r="AG9" i="2"/>
  <c r="T18" i="2"/>
  <c r="T12" i="2"/>
  <c r="U19" i="2"/>
  <c r="U11" i="2"/>
  <c r="N51" i="2"/>
  <c r="N52" i="2" s="1"/>
  <c r="W18" i="2"/>
  <c r="W12" i="2"/>
  <c r="X18" i="2"/>
  <c r="X12" i="2"/>
  <c r="Y19" i="2"/>
  <c r="Y11" i="2"/>
  <c r="Z19" i="2"/>
  <c r="Z11" i="2"/>
  <c r="AA19" i="2"/>
  <c r="AA11" i="2"/>
  <c r="AB18" i="2"/>
  <c r="AB12" i="2"/>
  <c r="AC18" i="2"/>
  <c r="AC12" i="2"/>
  <c r="AD18" i="2"/>
  <c r="AD12" i="2"/>
  <c r="AE18" i="2"/>
  <c r="AE12" i="2"/>
  <c r="AF18" i="2"/>
  <c r="AF12" i="2"/>
  <c r="M51" i="2"/>
  <c r="L51" i="2"/>
  <c r="P51" i="2"/>
  <c r="P52" i="2" s="1"/>
  <c r="O51" i="2"/>
  <c r="O52" i="2" s="1"/>
  <c r="P12" i="2"/>
  <c r="P18" i="2"/>
  <c r="I18" i="2"/>
  <c r="I12" i="2"/>
  <c r="M18" i="2"/>
  <c r="M12" i="2"/>
  <c r="J18" i="2"/>
  <c r="J12" i="2"/>
  <c r="N18" i="2"/>
  <c r="N12" i="2"/>
  <c r="K12" i="2"/>
  <c r="K18" i="2"/>
  <c r="O18" i="2"/>
  <c r="O12" i="2"/>
  <c r="L18" i="2"/>
  <c r="L12" i="2"/>
  <c r="AI7" i="2" l="1"/>
  <c r="AI17" i="2" s="1"/>
  <c r="AJ5" i="2"/>
  <c r="AJ7" i="2" s="1"/>
  <c r="AJ17" i="2" s="1"/>
  <c r="AJ21" i="2"/>
  <c r="AJ16" i="2"/>
  <c r="AG10" i="2"/>
  <c r="AG19" i="2" s="1"/>
  <c r="AG11" i="2"/>
  <c r="U12" i="2"/>
  <c r="U18" i="2"/>
  <c r="Y18" i="2"/>
  <c r="Y12" i="2"/>
  <c r="Z18" i="2"/>
  <c r="Z12" i="2"/>
  <c r="AA18" i="2"/>
  <c r="AA12" i="2"/>
  <c r="AJ15" i="2" l="1"/>
  <c r="AK5" i="2"/>
  <c r="AK7" i="2" s="1"/>
  <c r="AK17" i="2" s="1"/>
  <c r="AK21" i="2"/>
  <c r="AK16" i="2"/>
  <c r="AK15" i="2"/>
  <c r="AG12" i="2"/>
  <c r="AG24" i="2"/>
  <c r="AH8" i="2" s="1"/>
  <c r="AH9" i="2" s="1"/>
  <c r="AH10" i="2" s="1"/>
  <c r="AH19" i="2" s="1"/>
  <c r="AG18" i="2"/>
  <c r="AL5" i="2" l="1"/>
  <c r="AL7" i="2" s="1"/>
  <c r="AL17" i="2" s="1"/>
  <c r="AL16" i="2"/>
  <c r="AL21" i="2"/>
  <c r="AH11" i="2"/>
  <c r="AH12" i="2" s="1"/>
  <c r="AL15" i="2" l="1"/>
  <c r="AM5" i="2"/>
  <c r="AM21" i="2"/>
  <c r="AM16" i="2"/>
  <c r="AH18" i="2"/>
  <c r="AH24" i="2"/>
  <c r="AI8" i="2" s="1"/>
  <c r="AI9" i="2" s="1"/>
  <c r="AI10" i="2" s="1"/>
  <c r="AI19" i="2" s="1"/>
  <c r="AM7" i="2" l="1"/>
  <c r="AM17" i="2" s="1"/>
  <c r="AM15" i="2"/>
  <c r="AN5" i="2"/>
  <c r="AN16" i="2"/>
  <c r="AN21" i="2"/>
  <c r="AI11" i="2"/>
  <c r="AI12" i="2" s="1"/>
  <c r="AN7" i="2" l="1"/>
  <c r="AN17" i="2" s="1"/>
  <c r="AN15" i="2"/>
  <c r="AO5" i="2"/>
  <c r="AO16" i="2"/>
  <c r="AO21" i="2"/>
  <c r="AI18" i="2"/>
  <c r="AI24" i="2"/>
  <c r="AO15" i="2" l="1"/>
  <c r="AO7" i="2"/>
  <c r="AO17" i="2" s="1"/>
  <c r="AP5" i="2"/>
  <c r="AP21" i="2"/>
  <c r="AP16" i="2"/>
  <c r="AJ8" i="2"/>
  <c r="AJ9" i="2" s="1"/>
  <c r="AJ10" i="2" s="1"/>
  <c r="AJ19" i="2" s="1"/>
  <c r="AP7" i="2" l="1"/>
  <c r="AP17" i="2" s="1"/>
  <c r="AP15" i="2"/>
  <c r="AQ5" i="2"/>
  <c r="AQ7" i="2" s="1"/>
  <c r="AQ17" i="2" s="1"/>
  <c r="AQ16" i="2"/>
  <c r="AQ21" i="2"/>
  <c r="AR16" i="2"/>
  <c r="AQ15" i="2"/>
  <c r="AJ11" i="2"/>
  <c r="AJ12" i="2" s="1"/>
  <c r="AS16" i="2" l="1"/>
  <c r="AS5" i="2"/>
  <c r="AS21" i="2"/>
  <c r="AR5" i="2"/>
  <c r="AR21" i="2"/>
  <c r="AJ24" i="2"/>
  <c r="AK8" i="2" s="1"/>
  <c r="AK9" i="2" s="1"/>
  <c r="AJ18" i="2"/>
  <c r="AT16" i="2" l="1"/>
  <c r="AS15" i="2"/>
  <c r="AS7" i="2"/>
  <c r="AT5" i="2"/>
  <c r="AT21" i="2"/>
  <c r="AR7" i="2"/>
  <c r="AR17" i="2" s="1"/>
  <c r="AR15" i="2"/>
  <c r="AK10" i="2"/>
  <c r="AK19" i="2" s="1"/>
  <c r="AU16" i="2" l="1"/>
  <c r="AU5" i="2"/>
  <c r="AU21" i="2"/>
  <c r="AT15" i="2"/>
  <c r="AT7" i="2"/>
  <c r="AS17" i="2"/>
  <c r="AK11" i="2"/>
  <c r="AW16" i="2" l="1"/>
  <c r="AV16" i="2"/>
  <c r="AU15" i="2"/>
  <c r="AU7" i="2"/>
  <c r="AT17" i="2"/>
  <c r="AV5" i="2"/>
  <c r="AV21" i="2"/>
  <c r="AK18" i="2"/>
  <c r="AK24" i="2"/>
  <c r="AL8" i="2" s="1"/>
  <c r="AK12" i="2"/>
  <c r="AW21" i="2" l="1"/>
  <c r="AW5" i="2"/>
  <c r="AV15" i="2"/>
  <c r="AV7" i="2"/>
  <c r="AU17" i="2"/>
  <c r="AL9" i="2"/>
  <c r="AV17" i="2" l="1"/>
  <c r="AW15" i="2"/>
  <c r="AW7" i="2"/>
  <c r="AL10" i="2"/>
  <c r="AL19" i="2" s="1"/>
  <c r="AW17" i="2" l="1"/>
  <c r="AL11" i="2"/>
  <c r="AL18" i="2" l="1"/>
  <c r="AL24" i="2"/>
  <c r="AM8" i="2" s="1"/>
  <c r="AL12" i="2"/>
  <c r="AM9" i="2" l="1"/>
  <c r="AM10" i="2" l="1"/>
  <c r="AM19" i="2" s="1"/>
  <c r="AM11" i="2" l="1"/>
  <c r="AM18" i="2" l="1"/>
  <c r="AM12" i="2"/>
  <c r="AM24" i="2"/>
  <c r="AN8" i="2" s="1"/>
  <c r="AN9" i="2" s="1"/>
  <c r="AN10" i="2" l="1"/>
  <c r="AN19" i="2" s="1"/>
  <c r="AN11" i="2" l="1"/>
  <c r="AN18" i="2" s="1"/>
  <c r="AN12" i="2" l="1"/>
  <c r="AN24" i="2"/>
  <c r="AO8" i="2" l="1"/>
  <c r="AO9" i="2" s="1"/>
  <c r="AO10" i="2" s="1"/>
  <c r="AO19" i="2" s="1"/>
  <c r="AO11" i="2" l="1"/>
  <c r="AO18" i="2" s="1"/>
  <c r="AO12" i="2" l="1"/>
  <c r="AO24" i="2"/>
  <c r="AP8" i="2" l="1"/>
  <c r="AP9" i="2" s="1"/>
  <c r="AP10" i="2" s="1"/>
  <c r="AP19" i="2" s="1"/>
  <c r="AP11" i="2" l="1"/>
  <c r="AP18" i="2" s="1"/>
  <c r="AP24" i="2" l="1"/>
  <c r="AP12" i="2"/>
  <c r="AQ8" i="2" l="1"/>
  <c r="AQ9" i="2" s="1"/>
  <c r="AQ10" i="2" s="1"/>
  <c r="AQ19" i="2" s="1"/>
  <c r="AQ11" i="2" l="1"/>
  <c r="AQ18" i="2" s="1"/>
  <c r="AQ24" i="2" l="1"/>
  <c r="AR8" i="2" s="1"/>
  <c r="AQ12" i="2"/>
  <c r="AR9" i="2" l="1"/>
  <c r="AR10" i="2" s="1"/>
  <c r="AR19" i="2" s="1"/>
  <c r="AR11" i="2" l="1"/>
  <c r="AR24" i="2" l="1"/>
  <c r="AR18" i="2"/>
  <c r="AR12" i="2"/>
  <c r="AS8" i="2" l="1"/>
  <c r="AS9" i="2" s="1"/>
  <c r="AS10" i="2" l="1"/>
  <c r="AS19" i="2" s="1"/>
  <c r="AS11" i="2" l="1"/>
  <c r="AS24" i="2" l="1"/>
  <c r="AT8" i="2" s="1"/>
  <c r="AT9" i="2" s="1"/>
  <c r="AT10" i="2" s="1"/>
  <c r="AT19" i="2" s="1"/>
  <c r="AS12" i="2"/>
  <c r="AS18" i="2"/>
  <c r="AT11" i="2"/>
  <c r="AT18" i="2" l="1"/>
  <c r="AT24" i="2"/>
  <c r="AT12" i="2"/>
  <c r="AU8" i="2" l="1"/>
  <c r="AU9" i="2" s="1"/>
  <c r="AU10" i="2" s="1"/>
  <c r="AU19" i="2" s="1"/>
  <c r="AU11" i="2" l="1"/>
  <c r="AU24" i="2" s="1"/>
  <c r="AU12" i="2" l="1"/>
  <c r="AV8" i="2"/>
  <c r="AV9" i="2" s="1"/>
  <c r="AV10" i="2" s="1"/>
  <c r="AV19" i="2" s="1"/>
  <c r="AU18" i="2"/>
  <c r="AV11" i="2" l="1"/>
  <c r="AV24" i="2" s="1"/>
  <c r="AW8" i="2" s="1"/>
  <c r="AV18" i="2" l="1"/>
  <c r="AW9" i="2"/>
  <c r="AV12" i="2"/>
  <c r="AW10" i="2" l="1"/>
  <c r="AW19" i="2" s="1"/>
  <c r="AW11" i="2" l="1"/>
  <c r="AX11" i="2" l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EF11" i="2" s="1"/>
  <c r="EG11" i="2" s="1"/>
  <c r="EH11" i="2" s="1"/>
  <c r="EI11" i="2" s="1"/>
  <c r="EJ11" i="2" s="1"/>
  <c r="EK11" i="2" s="1"/>
  <c r="EL11" i="2" s="1"/>
  <c r="EM11" i="2" s="1"/>
  <c r="EN11" i="2" s="1"/>
  <c r="EO11" i="2" s="1"/>
  <c r="EP11" i="2" s="1"/>
  <c r="EQ11" i="2" s="1"/>
  <c r="ER11" i="2" s="1"/>
  <c r="ES11" i="2" s="1"/>
  <c r="ET11" i="2" s="1"/>
  <c r="AZ18" i="2" s="1"/>
  <c r="AZ20" i="2" s="1"/>
  <c r="AZ21" i="2" s="1"/>
  <c r="AZ23" i="2" s="1"/>
  <c r="AW24" i="2"/>
  <c r="AW12" i="2"/>
  <c r="AW18" i="2"/>
</calcChain>
</file>

<file path=xl/sharedStrings.xml><?xml version="1.0" encoding="utf-8"?>
<sst xmlns="http://schemas.openxmlformats.org/spreadsheetml/2006/main" count="103" uniqueCount="94">
  <si>
    <t>Revenue</t>
  </si>
  <si>
    <t>COGS</t>
  </si>
  <si>
    <t>Gross profit</t>
  </si>
  <si>
    <t>SG&amp;A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</si>
  <si>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</si>
  <si>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</si>
  <si>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</si>
  <si>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</si>
  <si>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</si>
  <si>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</si>
  <si>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</si>
  <si>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</si>
  <si>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</si>
  <si>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</si>
  <si>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</si>
  <si>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</si>
  <si>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</si>
  <si>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</si>
  <si>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</si>
  <si>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</si>
  <si>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</si>
  <si>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</si>
  <si>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</si>
  <si>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</si>
  <si>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</si>
  <si>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</si>
  <si>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</si>
  <si>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</si>
  <si>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</si>
  <si>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</si>
  <si>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</si>
  <si>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</si>
  <si>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</si>
  <si>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</si>
  <si>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</si>
  <si>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</si>
  <si>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</si>
  <si>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Latin America</t>
  </si>
  <si>
    <t>Asia, Middle East &amp; Africa</t>
  </si>
  <si>
    <t>Europe</t>
  </si>
  <si>
    <t>North America</t>
  </si>
  <si>
    <t>Total</t>
  </si>
  <si>
    <t>Organic net revenue</t>
  </si>
  <si>
    <t>volume/mix</t>
  </si>
  <si>
    <t>gum business</t>
  </si>
  <si>
    <t>Operating income unfavorable year-over-year change in market-to-market gains/losses from currency hedging activities.</t>
  </si>
  <si>
    <t>Outlook 2024: Net revenue decrease by 1,5%, Free Cash Flow of $3,5+billion</t>
  </si>
  <si>
    <t>Net cash</t>
  </si>
  <si>
    <t>A/R</t>
  </si>
  <si>
    <t>OCA</t>
  </si>
  <si>
    <t>PP&amp;E</t>
  </si>
  <si>
    <t>Lease</t>
  </si>
  <si>
    <t>Goodwill</t>
  </si>
  <si>
    <t>Prepaid</t>
  </si>
  <si>
    <t>DT</t>
  </si>
  <si>
    <t>Investments</t>
  </si>
  <si>
    <t>OA</t>
  </si>
  <si>
    <t>Assest</t>
  </si>
  <si>
    <t>A/P</t>
  </si>
  <si>
    <t>Accrued marketing</t>
  </si>
  <si>
    <t>OCL</t>
  </si>
  <si>
    <t>Accrued employment costs</t>
  </si>
  <si>
    <t>Accrued pension costs</t>
  </si>
  <si>
    <t>Accrued health care costs</t>
  </si>
  <si>
    <t>OL</t>
  </si>
  <si>
    <t>Liabilties</t>
  </si>
  <si>
    <t>S/E</t>
  </si>
  <si>
    <t>L+S/E</t>
  </si>
  <si>
    <t>NI TTM</t>
  </si>
  <si>
    <t>Tangible return</t>
  </si>
  <si>
    <t>Yield</t>
  </si>
  <si>
    <t>Model NI</t>
  </si>
  <si>
    <t>Reported NI</t>
  </si>
  <si>
    <t>D&amp;A</t>
  </si>
  <si>
    <t>CFFO</t>
  </si>
  <si>
    <t>CapEx</t>
  </si>
  <si>
    <t>FCF</t>
  </si>
  <si>
    <t>TTM FCF</t>
  </si>
  <si>
    <t>Buybacks</t>
  </si>
  <si>
    <t>Dividends</t>
  </si>
  <si>
    <t>Inventories</t>
  </si>
  <si>
    <t>ROIC</t>
  </si>
  <si>
    <t>Terminal</t>
  </si>
  <si>
    <t>Discount</t>
  </si>
  <si>
    <t>NPV</t>
  </si>
  <si>
    <t>Value</t>
  </si>
  <si>
    <t>Current</t>
  </si>
  <si>
    <t>Change</t>
  </si>
  <si>
    <t>SG&amp;A margin</t>
  </si>
  <si>
    <t>Founded as Krat Foods Inc in 1903.</t>
  </si>
  <si>
    <t>In 2012, Kraft Foods Inc split into two companies: Kraft Foods Group and Mondelez International.</t>
  </si>
  <si>
    <t>Founded</t>
  </si>
  <si>
    <t>Founders</t>
  </si>
  <si>
    <t>James L. Kraft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</si>
</sst>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;@"/>
    <numFmt numFmtId="165" formatCode="0\x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3" fontId="1" fillId="0" borderId="0" xfId="0" applyNumberFormat="1" applyFont="1"/>
    <xf numFmtId="0" fontId="0" fillId="0" borderId="1" xfId="0" applyBorder="1"/>
    <xf numFmtId="3" fontId="0" fillId="0" borderId="2" xfId="0" applyNumberFormat="1" applyBorder="1"/>
    <xf numFmtId="9" fontId="0" fillId="0" borderId="3" xfId="0" applyNumberFormat="1" applyBorder="1"/>
    <xf numFmtId="0" fontId="0" fillId="0" borderId="4" xfId="0" applyBorder="1"/>
    <xf numFmtId="9" fontId="0" fillId="0" borderId="5" xfId="0" applyNumberFormat="1" applyBorder="1"/>
    <xf numFmtId="0" fontId="0" fillId="0" borderId="6" xfId="0" applyBorder="1"/>
    <xf numFmtId="3" fontId="0" fillId="0" borderId="7" xfId="0" applyNumberFormat="1" applyBorder="1"/>
    <xf numFmtId="9" fontId="0" fillId="0" borderId="8" xfId="0" applyNumberFormat="1" applyBorder="1"/>
    <xf numFmtId="0" fontId="0" fillId="0" borderId="3" xfId="0" applyBorder="1"/>
    <xf numFmtId="0" fontId="1" fillId="0" borderId="6" xfId="0" applyFont="1" applyBorder="1"/>
    <xf numFmtId="3" fontId="1" fillId="0" borderId="7" xfId="0" applyNumberFormat="1" applyFont="1" applyBorder="1"/>
    <xf numFmtId="0" fontId="0" fillId="0" borderId="8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2" borderId="0" xfId="0" applyFill="1"/>
    <xf numFmtId="3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0</xdr:rowOff>
    </xdr:from>
    <xdr:to>
      <xdr:col>16</xdr:col>
      <xdr:colOff>19050</xdr:colOff>
      <xdr:row>90</xdr:row>
      <xdr:rowOff>28575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B469982-0E10-46C7-9E46-E9A95512005B}"/>
            </a:ext>
          </a:extLst>
        </xdr:cNvPr>
        <xdr:cNvCxnSpPr/>
      </xdr:nvCxnSpPr>
      <xdr:spPr>
        <a:xfrm>
          <a:off x="10277475" y="0"/>
          <a:ext cx="0" cy="14439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9525</xdr:colOff>
      <xdr:row>0</xdr:row>
      <xdr:rowOff>0</xdr:rowOff>
    </xdr:from>
    <xdr:to>
      <xdr:col>32</xdr:col>
      <xdr:colOff>9525</xdr:colOff>
      <xdr:row>83</xdr:row>
      <xdr:rowOff>57150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5EE577A-20E0-49C4-9A4A-AA51A6E5C33A}"/>
            </a:ext>
          </a:extLst>
        </xdr:cNvPr>
        <xdr:cNvCxnSpPr/>
      </xdr:nvCxnSpPr>
      <xdr:spPr>
        <a:xfrm>
          <a:off x="17583150" y="0"/>
          <a:ext cx="0" cy="133350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C5BB-5117-464F-8480-21A5F01A9D27}">
  <dimension ref="B2:L30"/>
  <sheetViews>
    <sheetView workbookViewId="0">
      <selection activeCell="B11" sqref="B11"/>
    </sheetView>
  </sheetViews>
  <sheetFormatPr defaultRowHeight="12.75" x14ac:dyDescent="0.2"/>
  <cols>
    <col min="1" max="1" width="2.7109375" customWidth="1"/>
    <col min="2" max="2" width="23.28515625" bestFit="1" customWidth="1"/>
  </cols>
  <sheetData>
    <row r="2" spans="2:12" x14ac:dyDescent="0.2">
      <c r="B2" s="19" t="s">
        <v>30</v>
      </c>
      <c r="C2" s="20" t="s">
        <v>0</v>
      </c>
      <c r="D2" s="15"/>
      <c r="F2" s="21" t="s">
        <v>42</v>
      </c>
      <c r="G2" s="21"/>
    </row>
    <row r="3" spans="2:12" x14ac:dyDescent="0.2">
      <c r="B3" s="7" t="s">
        <v>37</v>
      </c>
      <c r="C3" s="8">
        <v>1204</v>
      </c>
      <c r="D3" s="9">
        <f>+C3/$C$7</f>
        <v>0.13081269013472405</v>
      </c>
      <c r="F3" s="21" t="s">
        <v>43</v>
      </c>
      <c r="G3" s="21"/>
      <c r="K3" t="s">
        <v>32</v>
      </c>
      <c r="L3" s="4">
        <v>56.8</v>
      </c>
    </row>
    <row r="4" spans="2:12" x14ac:dyDescent="0.2">
      <c r="B4" s="10" t="s">
        <v>38</v>
      </c>
      <c r="C4" s="1">
        <v>1851</v>
      </c>
      <c r="D4" s="11">
        <f t="shared" ref="D4:D6" si="0">+C4/$C$7</f>
        <v>0.20110821382007824</v>
      </c>
      <c r="F4" s="21" t="s">
        <v>44</v>
      </c>
      <c r="G4" s="21"/>
      <c r="K4" t="s">
        <v>10</v>
      </c>
      <c r="L4" s="1">
        <v>1337.194254</v>
      </c>
    </row>
    <row r="5" spans="2:12" x14ac:dyDescent="0.2">
      <c r="B5" s="10" t="s">
        <v>39</v>
      </c>
      <c r="C5" s="1">
        <v>3323</v>
      </c>
      <c r="D5" s="11">
        <f t="shared" si="0"/>
        <v>0.36103867883528901</v>
      </c>
      <c r="K5" t="s">
        <v>33</v>
      </c>
      <c r="L5" s="1">
        <f>+L3*L4</f>
        <v>75952.63362719999</v>
      </c>
    </row>
    <row r="6" spans="2:12" x14ac:dyDescent="0.2">
      <c r="B6" s="12" t="s">
        <v>40</v>
      </c>
      <c r="C6" s="13">
        <v>2826</v>
      </c>
      <c r="D6" s="14">
        <f t="shared" si="0"/>
        <v>0.30704041720990871</v>
      </c>
      <c r="K6" t="s">
        <v>34</v>
      </c>
      <c r="L6" s="1">
        <v>1517</v>
      </c>
    </row>
    <row r="7" spans="2:12" x14ac:dyDescent="0.2">
      <c r="B7" s="16" t="s">
        <v>41</v>
      </c>
      <c r="C7" s="17">
        <f>+SUM(C3:C6)</f>
        <v>9204</v>
      </c>
      <c r="D7" s="18"/>
      <c r="K7" t="s">
        <v>35</v>
      </c>
      <c r="L7" s="1">
        <f>1484+1821+16499</f>
        <v>19804</v>
      </c>
    </row>
    <row r="8" spans="2:12" x14ac:dyDescent="0.2">
      <c r="K8" t="s">
        <v>36</v>
      </c>
      <c r="L8" s="1">
        <f>+L5-L6+L7</f>
        <v>94239.63362719999</v>
      </c>
    </row>
    <row r="9" spans="2:12" x14ac:dyDescent="0.2">
      <c r="B9" t="s">
        <v>89</v>
      </c>
      <c r="L9" s="1">
        <v>4589</v>
      </c>
    </row>
    <row r="10" spans="2:12" x14ac:dyDescent="0.2">
      <c r="B10" t="s">
        <v>90</v>
      </c>
      <c r="L10" s="24">
        <f>+L8/L9</f>
        <v>20.535984664894311</v>
      </c>
    </row>
    <row r="12" spans="2:12" x14ac:dyDescent="0.2">
      <c r="K12" t="s">
        <v>91</v>
      </c>
      <c r="L12">
        <v>1903</v>
      </c>
    </row>
    <row r="13" spans="2:12" x14ac:dyDescent="0.2">
      <c r="K13" t="s">
        <v>92</v>
      </c>
      <c r="L13" t="s">
        <v>93</v>
      </c>
    </row>
    <row r="28" spans="2:2" x14ac:dyDescent="0.2">
      <c r="B28" t="s">
        <v>45</v>
      </c>
    </row>
    <row r="30" spans="2:2" x14ac:dyDescent="0.2">
      <c r="B30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9BA4-AD10-4B4D-8A99-B53BADD1E154}">
  <dimension ref="A1:ET66"/>
  <sheetViews>
    <sheetView tabSelected="1" workbookViewId="0">
      <pane xSplit="1" ySplit="2" topLeftCell="AC3" activePane="bottomRight" state="frozen"/>
      <selection pane="topRight" activeCell="B1" sqref="B1"/>
      <selection pane="bottomLeft" activeCell="A3" sqref="A3"/>
      <selection pane="bottomRight" activeCell="AT35" sqref="AT35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1" spans="1:150" s="23" customFormat="1" x14ac:dyDescent="0.2">
      <c r="I1" s="23">
        <v>44926</v>
      </c>
      <c r="J1" s="23">
        <v>45016</v>
      </c>
      <c r="K1" s="23">
        <v>45107</v>
      </c>
      <c r="L1" s="23">
        <v>45199</v>
      </c>
      <c r="M1" s="23">
        <v>45291</v>
      </c>
      <c r="N1" s="23">
        <v>45382</v>
      </c>
      <c r="O1" s="23">
        <v>45473</v>
      </c>
      <c r="P1" s="23">
        <v>45565</v>
      </c>
    </row>
    <row r="2" spans="1:150" x14ac:dyDescent="0.2">
      <c r="A2" s="2"/>
      <c r="B2" s="2" t="s">
        <v>16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17</v>
      </c>
      <c r="H2" s="2" t="s">
        <v>18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/>
      <c r="S2" s="2"/>
      <c r="T2" s="25">
        <v>2011</v>
      </c>
      <c r="U2" s="25">
        <v>2012</v>
      </c>
      <c r="V2">
        <v>2013</v>
      </c>
      <c r="W2">
        <v>2014</v>
      </c>
      <c r="X2">
        <f t="shared" ref="X2:AR2" si="0">+W2+1</f>
        <v>2015</v>
      </c>
      <c r="Y2">
        <f t="shared" si="0"/>
        <v>2016</v>
      </c>
      <c r="Z2">
        <f t="shared" si="0"/>
        <v>2017</v>
      </c>
      <c r="AA2">
        <f t="shared" si="0"/>
        <v>2018</v>
      </c>
      <c r="AB2">
        <f t="shared" si="0"/>
        <v>2019</v>
      </c>
      <c r="AC2">
        <f t="shared" si="0"/>
        <v>2020</v>
      </c>
      <c r="AD2">
        <f t="shared" si="0"/>
        <v>2021</v>
      </c>
      <c r="AE2">
        <f t="shared" si="0"/>
        <v>2022</v>
      </c>
      <c r="AF2">
        <f t="shared" si="0"/>
        <v>2023</v>
      </c>
      <c r="AG2">
        <f t="shared" si="0"/>
        <v>2024</v>
      </c>
      <c r="AH2">
        <f t="shared" si="0"/>
        <v>2025</v>
      </c>
      <c r="AI2">
        <f t="shared" si="0"/>
        <v>2026</v>
      </c>
      <c r="AJ2">
        <f t="shared" si="0"/>
        <v>2027</v>
      </c>
      <c r="AK2">
        <f t="shared" si="0"/>
        <v>2028</v>
      </c>
      <c r="AL2">
        <f t="shared" si="0"/>
        <v>2029</v>
      </c>
      <c r="AM2">
        <f t="shared" si="0"/>
        <v>2030</v>
      </c>
      <c r="AN2">
        <f t="shared" si="0"/>
        <v>2031</v>
      </c>
      <c r="AO2">
        <f t="shared" si="0"/>
        <v>2032</v>
      </c>
      <c r="AP2">
        <f t="shared" si="0"/>
        <v>2033</v>
      </c>
      <c r="AQ2">
        <f t="shared" si="0"/>
        <v>2034</v>
      </c>
      <c r="AR2">
        <f t="shared" si="0"/>
        <v>2035</v>
      </c>
      <c r="AS2">
        <f>+Model!AR2+1</f>
        <v>2036</v>
      </c>
      <c r="AT2">
        <f>+AS2+1</f>
        <v>2037</v>
      </c>
      <c r="AU2">
        <f>+AT2+1</f>
        <v>2038</v>
      </c>
      <c r="AV2">
        <f>+AU2+1</f>
        <v>2039</v>
      </c>
      <c r="AW2">
        <f>+AV2+1</f>
        <v>2040</v>
      </c>
    </row>
    <row r="3" spans="1:150" s="6" customFormat="1" x14ac:dyDescent="0.2">
      <c r="A3" s="6" t="s">
        <v>0</v>
      </c>
      <c r="I3" s="6">
        <v>8695</v>
      </c>
      <c r="J3" s="6">
        <v>9166</v>
      </c>
      <c r="K3" s="6">
        <v>8507</v>
      </c>
      <c r="L3" s="6">
        <v>9029</v>
      </c>
      <c r="M3" s="6">
        <v>9314</v>
      </c>
      <c r="N3" s="6">
        <v>9290</v>
      </c>
      <c r="O3" s="6">
        <v>8343</v>
      </c>
      <c r="P3" s="6">
        <v>9204</v>
      </c>
      <c r="Q3" s="6">
        <f>+AG3-SUM(N3:P3)</f>
        <v>8638.760000000002</v>
      </c>
      <c r="R3" s="3"/>
      <c r="T3" s="6">
        <v>35810</v>
      </c>
      <c r="U3" s="6">
        <v>35015</v>
      </c>
      <c r="V3" s="6">
        <v>35299</v>
      </c>
      <c r="W3" s="6">
        <v>34244</v>
      </c>
      <c r="X3" s="6">
        <v>29636</v>
      </c>
      <c r="Y3" s="6">
        <v>25923</v>
      </c>
      <c r="Z3" s="6">
        <v>25896</v>
      </c>
      <c r="AA3" s="6">
        <v>25938</v>
      </c>
      <c r="AB3" s="6">
        <v>25868</v>
      </c>
      <c r="AC3" s="6">
        <v>26581</v>
      </c>
      <c r="AD3" s="6">
        <v>28720</v>
      </c>
      <c r="AE3" s="6">
        <v>31496</v>
      </c>
      <c r="AF3" s="6">
        <v>36016</v>
      </c>
      <c r="AG3" s="6">
        <f>+AF3*0.985</f>
        <v>35475.760000000002</v>
      </c>
      <c r="AH3" s="6">
        <f>+AG3*1.01</f>
        <v>35830.517599999999</v>
      </c>
      <c r="AI3" s="6">
        <f t="shared" ref="AI3:AW3" si="1">+AH3*1.01</f>
        <v>36188.822776000001</v>
      </c>
      <c r="AJ3" s="6">
        <f t="shared" si="1"/>
        <v>36550.71100376</v>
      </c>
      <c r="AK3" s="6">
        <f t="shared" si="1"/>
        <v>36916.2181137976</v>
      </c>
      <c r="AL3" s="6">
        <f t="shared" si="1"/>
        <v>37285.380294935574</v>
      </c>
      <c r="AM3" s="6">
        <f t="shared" si="1"/>
        <v>37658.234097884932</v>
      </c>
      <c r="AN3" s="6">
        <f t="shared" si="1"/>
        <v>38034.816438863782</v>
      </c>
      <c r="AO3" s="6">
        <f t="shared" si="1"/>
        <v>38415.164603252422</v>
      </c>
      <c r="AP3" s="6">
        <f t="shared" si="1"/>
        <v>38799.316249284944</v>
      </c>
      <c r="AQ3" s="6">
        <f t="shared" si="1"/>
        <v>39187.309411777795</v>
      </c>
      <c r="AR3" s="6">
        <f t="shared" si="1"/>
        <v>39579.182505895573</v>
      </c>
      <c r="AS3" s="6">
        <f t="shared" si="1"/>
        <v>39974.97433095453</v>
      </c>
      <c r="AT3" s="6">
        <f t="shared" si="1"/>
        <v>40374.724074264079</v>
      </c>
      <c r="AU3" s="6">
        <f t="shared" si="1"/>
        <v>40778.471315006718</v>
      </c>
      <c r="AV3" s="6">
        <f t="shared" si="1"/>
        <v>41186.256028156786</v>
      </c>
      <c r="AW3" s="6">
        <f t="shared" si="1"/>
        <v>41598.118588438352</v>
      </c>
    </row>
    <row r="4" spans="1:150" x14ac:dyDescent="0.2">
      <c r="A4" s="1" t="s">
        <v>1</v>
      </c>
      <c r="I4" s="1">
        <v>5620</v>
      </c>
      <c r="J4" s="1">
        <v>5720</v>
      </c>
      <c r="K4" s="1">
        <v>5153</v>
      </c>
      <c r="L4" s="1">
        <v>5535</v>
      </c>
      <c r="M4" s="1">
        <v>5844</v>
      </c>
      <c r="N4" s="1">
        <v>4541</v>
      </c>
      <c r="O4" s="1">
        <v>5546</v>
      </c>
      <c r="P4" s="1">
        <v>6205</v>
      </c>
      <c r="R4" s="3"/>
      <c r="T4" s="1">
        <v>22710</v>
      </c>
      <c r="U4" s="1">
        <v>21939</v>
      </c>
      <c r="V4" s="1">
        <v>22189</v>
      </c>
      <c r="W4" s="1">
        <v>21647</v>
      </c>
      <c r="X4" s="1">
        <v>18124</v>
      </c>
      <c r="Y4" s="1">
        <v>15795</v>
      </c>
      <c r="Z4" s="1">
        <v>15831</v>
      </c>
      <c r="AA4" s="1">
        <v>15586</v>
      </c>
      <c r="AB4" s="1">
        <v>15531</v>
      </c>
      <c r="AC4" s="1">
        <v>16135</v>
      </c>
      <c r="AD4" s="1">
        <v>17466</v>
      </c>
      <c r="AE4" s="1">
        <v>20184</v>
      </c>
      <c r="AF4" s="1">
        <v>22252</v>
      </c>
      <c r="AG4" s="1">
        <f>+AF4*0.99</f>
        <v>22029.48</v>
      </c>
      <c r="AH4" s="1">
        <f>+AG4*1.0075</f>
        <v>22194.701100000002</v>
      </c>
      <c r="AI4" s="1">
        <f t="shared" ref="AI4:AW4" si="2">+AH4*1.0075</f>
        <v>22361.161358250003</v>
      </c>
      <c r="AJ4" s="1">
        <f t="shared" si="2"/>
        <v>22528.870068436878</v>
      </c>
      <c r="AK4" s="1">
        <f t="shared" si="2"/>
        <v>22697.836593950156</v>
      </c>
      <c r="AL4" s="1">
        <f t="shared" si="2"/>
        <v>22868.070368404784</v>
      </c>
      <c r="AM4" s="1">
        <f t="shared" si="2"/>
        <v>23039.580896167819</v>
      </c>
      <c r="AN4" s="1">
        <f t="shared" si="2"/>
        <v>23212.377752889079</v>
      </c>
      <c r="AO4" s="1">
        <f t="shared" si="2"/>
        <v>23386.47058603575</v>
      </c>
      <c r="AP4" s="1">
        <f t="shared" si="2"/>
        <v>23561.869115431018</v>
      </c>
      <c r="AQ4" s="1">
        <f t="shared" si="2"/>
        <v>23738.583133796754</v>
      </c>
      <c r="AR4" s="1">
        <f t="shared" si="2"/>
        <v>23916.622507300232</v>
      </c>
      <c r="AS4" s="1">
        <f t="shared" si="2"/>
        <v>24095.997176104986</v>
      </c>
      <c r="AT4" s="1">
        <f t="shared" si="2"/>
        <v>24276.717154925773</v>
      </c>
      <c r="AU4" s="1">
        <f t="shared" si="2"/>
        <v>24458.792533587719</v>
      </c>
      <c r="AV4" s="1">
        <f t="shared" si="2"/>
        <v>24642.233477589627</v>
      </c>
      <c r="AW4" s="1">
        <f t="shared" si="2"/>
        <v>24827.050228671549</v>
      </c>
    </row>
    <row r="5" spans="1:150" x14ac:dyDescent="0.2">
      <c r="A5" s="1" t="s">
        <v>2</v>
      </c>
      <c r="I5" s="1">
        <f t="shared" ref="I5:P5" si="3">+I3-I4</f>
        <v>3075</v>
      </c>
      <c r="J5" s="1">
        <f t="shared" si="3"/>
        <v>3446</v>
      </c>
      <c r="K5" s="1">
        <f t="shared" si="3"/>
        <v>3354</v>
      </c>
      <c r="L5" s="1">
        <f t="shared" si="3"/>
        <v>3494</v>
      </c>
      <c r="M5" s="1">
        <f t="shared" si="3"/>
        <v>3470</v>
      </c>
      <c r="N5" s="1">
        <f t="shared" si="3"/>
        <v>4749</v>
      </c>
      <c r="O5" s="1">
        <f t="shared" si="3"/>
        <v>2797</v>
      </c>
      <c r="P5" s="1">
        <f t="shared" si="3"/>
        <v>2999</v>
      </c>
      <c r="T5" s="1">
        <f t="shared" ref="T5:AG5" si="4">+T3-T4</f>
        <v>13100</v>
      </c>
      <c r="U5" s="1">
        <f t="shared" si="4"/>
        <v>13076</v>
      </c>
      <c r="V5" s="1">
        <f t="shared" si="4"/>
        <v>13110</v>
      </c>
      <c r="W5" s="1">
        <f t="shared" si="4"/>
        <v>12597</v>
      </c>
      <c r="X5" s="1">
        <f t="shared" si="4"/>
        <v>11512</v>
      </c>
      <c r="Y5" s="1">
        <f t="shared" si="4"/>
        <v>10128</v>
      </c>
      <c r="Z5" s="1">
        <f t="shared" si="4"/>
        <v>10065</v>
      </c>
      <c r="AA5" s="1">
        <f t="shared" si="4"/>
        <v>10352</v>
      </c>
      <c r="AB5" s="1">
        <f t="shared" si="4"/>
        <v>10337</v>
      </c>
      <c r="AC5" s="1">
        <f t="shared" si="4"/>
        <v>10446</v>
      </c>
      <c r="AD5" s="1">
        <f t="shared" si="4"/>
        <v>11254</v>
      </c>
      <c r="AE5" s="1">
        <f t="shared" si="4"/>
        <v>11312</v>
      </c>
      <c r="AF5" s="1">
        <f t="shared" si="4"/>
        <v>13764</v>
      </c>
      <c r="AG5" s="1">
        <f t="shared" si="4"/>
        <v>13446.280000000002</v>
      </c>
      <c r="AH5" s="1">
        <f t="shared" ref="AH5:AR5" si="5">+AH3-AH4</f>
        <v>13635.816499999997</v>
      </c>
      <c r="AI5" s="1">
        <f t="shared" si="5"/>
        <v>13827.661417749998</v>
      </c>
      <c r="AJ5" s="1">
        <f t="shared" si="5"/>
        <v>14021.840935323122</v>
      </c>
      <c r="AK5" s="1">
        <f t="shared" si="5"/>
        <v>14218.381519847444</v>
      </c>
      <c r="AL5" s="1">
        <f t="shared" si="5"/>
        <v>14417.30992653079</v>
      </c>
      <c r="AM5" s="1">
        <f t="shared" si="5"/>
        <v>14618.653201717112</v>
      </c>
      <c r="AN5" s="1">
        <f t="shared" si="5"/>
        <v>14822.438685974703</v>
      </c>
      <c r="AO5" s="1">
        <f t="shared" si="5"/>
        <v>15028.694017216672</v>
      </c>
      <c r="AP5" s="1">
        <f t="shared" si="5"/>
        <v>15237.447133853926</v>
      </c>
      <c r="AQ5" s="1">
        <f t="shared" si="5"/>
        <v>15448.726277981041</v>
      </c>
      <c r="AR5" s="1">
        <f t="shared" si="5"/>
        <v>15662.559998595341</v>
      </c>
      <c r="AS5" s="1">
        <f>+AS3-AS4</f>
        <v>15878.977154849545</v>
      </c>
      <c r="AT5" s="1">
        <f>+AT3-AT4</f>
        <v>16098.006919338306</v>
      </c>
      <c r="AU5" s="1">
        <f>+AU3-AU4</f>
        <v>16319.678781418999</v>
      </c>
      <c r="AV5" s="1">
        <f>+AV3-AV4</f>
        <v>16544.022550567159</v>
      </c>
      <c r="AW5" s="1">
        <f>+AW3-AW4</f>
        <v>16771.068359766803</v>
      </c>
    </row>
    <row r="6" spans="1:150" x14ac:dyDescent="0.2">
      <c r="A6" s="1" t="s">
        <v>3</v>
      </c>
      <c r="I6" s="1">
        <v>2131</v>
      </c>
      <c r="J6" s="1">
        <v>1855</v>
      </c>
      <c r="K6" s="1">
        <v>1869</v>
      </c>
      <c r="L6" s="1">
        <v>2019</v>
      </c>
      <c r="M6" s="1">
        <v>2259</v>
      </c>
      <c r="N6" s="1">
        <v>1938</v>
      </c>
      <c r="O6" s="1">
        <v>1891</v>
      </c>
      <c r="P6" s="1">
        <v>1630</v>
      </c>
      <c r="R6" s="3"/>
      <c r="T6" s="1">
        <v>9382</v>
      </c>
      <c r="U6" s="1">
        <v>9176</v>
      </c>
      <c r="V6" s="1">
        <v>8679</v>
      </c>
      <c r="W6" s="1">
        <v>8457</v>
      </c>
      <c r="X6" s="1">
        <v>7577</v>
      </c>
      <c r="Y6" s="1">
        <v>6540</v>
      </c>
      <c r="Z6" s="1">
        <v>5911</v>
      </c>
      <c r="AA6" s="1">
        <v>6475</v>
      </c>
      <c r="AB6" s="1">
        <v>6136</v>
      </c>
      <c r="AC6" s="1">
        <v>6098</v>
      </c>
      <c r="AD6" s="1">
        <v>6263</v>
      </c>
      <c r="AE6" s="1">
        <v>7384</v>
      </c>
      <c r="AF6" s="1">
        <v>8002</v>
      </c>
      <c r="AG6" s="1">
        <f>+AF6*0.99</f>
        <v>7921.98</v>
      </c>
      <c r="AH6" s="1">
        <f>+AG6*1.0075</f>
        <v>7981.3948499999997</v>
      </c>
      <c r="AI6" s="1">
        <f t="shared" ref="AI6:AW6" si="6">+AH6*1.0075</f>
        <v>8041.255311375</v>
      </c>
      <c r="AJ6" s="1">
        <f t="shared" si="6"/>
        <v>8101.564726210313</v>
      </c>
      <c r="AK6" s="1">
        <f t="shared" si="6"/>
        <v>8162.3264616568904</v>
      </c>
      <c r="AL6" s="1">
        <f t="shared" si="6"/>
        <v>8223.5439101193169</v>
      </c>
      <c r="AM6" s="1">
        <f t="shared" si="6"/>
        <v>8285.2204894452116</v>
      </c>
      <c r="AN6" s="1">
        <f t="shared" si="6"/>
        <v>8347.3596431160513</v>
      </c>
      <c r="AO6" s="1">
        <f t="shared" si="6"/>
        <v>8409.9648404394229</v>
      </c>
      <c r="AP6" s="1">
        <f t="shared" si="6"/>
        <v>8473.0395767427199</v>
      </c>
      <c r="AQ6" s="1">
        <f t="shared" si="6"/>
        <v>8536.5873735682908</v>
      </c>
      <c r="AR6" s="1">
        <f t="shared" si="6"/>
        <v>8600.611778870054</v>
      </c>
      <c r="AS6" s="1">
        <f t="shared" si="6"/>
        <v>8665.1163672115799</v>
      </c>
      <c r="AT6" s="1">
        <f t="shared" si="6"/>
        <v>8730.1047399656672</v>
      </c>
      <c r="AU6" s="1">
        <f t="shared" si="6"/>
        <v>8795.58052551541</v>
      </c>
      <c r="AV6" s="1">
        <f t="shared" si="6"/>
        <v>8861.547379456777</v>
      </c>
      <c r="AW6" s="1">
        <f t="shared" si="6"/>
        <v>8928.0089848027037</v>
      </c>
    </row>
    <row r="7" spans="1:150" x14ac:dyDescent="0.2">
      <c r="A7" s="1" t="s">
        <v>4</v>
      </c>
      <c r="I7" s="1">
        <f t="shared" ref="I7:P7" si="7">+I5-I6</f>
        <v>944</v>
      </c>
      <c r="J7" s="1">
        <f t="shared" si="7"/>
        <v>1591</v>
      </c>
      <c r="K7" s="1">
        <f t="shared" si="7"/>
        <v>1485</v>
      </c>
      <c r="L7" s="1">
        <f t="shared" si="7"/>
        <v>1475</v>
      </c>
      <c r="M7" s="1">
        <f t="shared" si="7"/>
        <v>1211</v>
      </c>
      <c r="N7" s="1">
        <f t="shared" si="7"/>
        <v>2811</v>
      </c>
      <c r="O7" s="1">
        <f t="shared" si="7"/>
        <v>906</v>
      </c>
      <c r="P7" s="1">
        <f t="shared" si="7"/>
        <v>1369</v>
      </c>
      <c r="R7" s="3"/>
      <c r="T7" s="1">
        <f t="shared" ref="T7:AR7" si="8">+T5-T6</f>
        <v>3718</v>
      </c>
      <c r="U7" s="1">
        <f t="shared" si="8"/>
        <v>3900</v>
      </c>
      <c r="V7" s="1">
        <f t="shared" si="8"/>
        <v>4431</v>
      </c>
      <c r="W7" s="1">
        <f t="shared" si="8"/>
        <v>4140</v>
      </c>
      <c r="X7" s="1">
        <f t="shared" si="8"/>
        <v>3935</v>
      </c>
      <c r="Y7" s="1">
        <f t="shared" si="8"/>
        <v>3588</v>
      </c>
      <c r="Z7" s="1">
        <f t="shared" si="8"/>
        <v>4154</v>
      </c>
      <c r="AA7" s="1">
        <f t="shared" si="8"/>
        <v>3877</v>
      </c>
      <c r="AB7" s="1">
        <f t="shared" si="8"/>
        <v>4201</v>
      </c>
      <c r="AC7" s="1">
        <f t="shared" si="8"/>
        <v>4348</v>
      </c>
      <c r="AD7" s="1">
        <f t="shared" si="8"/>
        <v>4991</v>
      </c>
      <c r="AE7" s="1">
        <f t="shared" si="8"/>
        <v>3928</v>
      </c>
      <c r="AF7" s="1">
        <f t="shared" si="8"/>
        <v>5762</v>
      </c>
      <c r="AG7" s="1">
        <f t="shared" si="8"/>
        <v>5524.3000000000029</v>
      </c>
      <c r="AH7" s="1">
        <f t="shared" si="8"/>
        <v>5654.4216499999975</v>
      </c>
      <c r="AI7" s="1">
        <f t="shared" si="8"/>
        <v>5786.4061063749978</v>
      </c>
      <c r="AJ7" s="1">
        <f t="shared" si="8"/>
        <v>5920.2762091128088</v>
      </c>
      <c r="AK7" s="1">
        <f t="shared" si="8"/>
        <v>6056.0550581905536</v>
      </c>
      <c r="AL7" s="1">
        <f t="shared" si="8"/>
        <v>6193.7660164114732</v>
      </c>
      <c r="AM7" s="1">
        <f t="shared" si="8"/>
        <v>6333.4327122719005</v>
      </c>
      <c r="AN7" s="1">
        <f t="shared" si="8"/>
        <v>6475.0790428586515</v>
      </c>
      <c r="AO7" s="1">
        <f t="shared" si="8"/>
        <v>6618.7291767772494</v>
      </c>
      <c r="AP7" s="1">
        <f t="shared" si="8"/>
        <v>6764.4075571112062</v>
      </c>
      <c r="AQ7" s="1">
        <f t="shared" si="8"/>
        <v>6912.13890441275</v>
      </c>
      <c r="AR7" s="1">
        <f t="shared" si="8"/>
        <v>7061.9482197252873</v>
      </c>
      <c r="AS7" s="1">
        <f>+AS5-AS6</f>
        <v>7213.8607876379647</v>
      </c>
      <c r="AT7" s="1">
        <f>+AT5-AT6</f>
        <v>7367.9021793726388</v>
      </c>
      <c r="AU7" s="1">
        <f>+AU5-AU6</f>
        <v>7524.0982559035892</v>
      </c>
      <c r="AV7" s="1">
        <f>+AV5-AV6</f>
        <v>7682.4751711103818</v>
      </c>
      <c r="AW7" s="1">
        <f>+AW5-AW6</f>
        <v>7843.0593749640993</v>
      </c>
    </row>
    <row r="8" spans="1:150" x14ac:dyDescent="0.2">
      <c r="A8" s="1" t="s">
        <v>5</v>
      </c>
      <c r="I8" s="1">
        <v>-86</v>
      </c>
      <c r="J8" s="1">
        <v>-95</v>
      </c>
      <c r="K8" s="1">
        <v>-97</v>
      </c>
      <c r="L8" s="1">
        <v>-66</v>
      </c>
      <c r="M8" s="1">
        <v>-52</v>
      </c>
      <c r="N8" s="1">
        <v>-68</v>
      </c>
      <c r="O8" s="1">
        <v>-32</v>
      </c>
      <c r="P8" s="1">
        <v>-46</v>
      </c>
      <c r="T8" s="1">
        <v>-1618</v>
      </c>
      <c r="U8" s="1">
        <v>-1863</v>
      </c>
      <c r="V8" s="1">
        <v>-1579</v>
      </c>
      <c r="W8" s="1">
        <v>-688</v>
      </c>
      <c r="X8" s="1">
        <v>-1013</v>
      </c>
      <c r="Y8" s="1">
        <v>-1115</v>
      </c>
      <c r="Z8" s="1">
        <v>-382</v>
      </c>
      <c r="AA8" s="1">
        <v>-520</v>
      </c>
      <c r="AB8" s="1">
        <v>-456</v>
      </c>
      <c r="AC8" s="1">
        <v>-608</v>
      </c>
      <c r="AD8" s="1">
        <v>-447</v>
      </c>
      <c r="AE8" s="1">
        <v>-423</v>
      </c>
      <c r="AF8" s="1">
        <v>-310</v>
      </c>
      <c r="AG8" s="1">
        <f>+AF24*0.02</f>
        <v>-365.74</v>
      </c>
      <c r="AH8" s="1">
        <f t="shared" ref="AH8:AJ8" si="9">+AG24*0.02</f>
        <v>-284.23475199999996</v>
      </c>
      <c r="AI8" s="1">
        <f t="shared" si="9"/>
        <v>-199.38579901159997</v>
      </c>
      <c r="AJ8" s="1">
        <f t="shared" si="9"/>
        <v>-111.11087815525828</v>
      </c>
      <c r="AK8" s="1">
        <f>+AJ24*0.03</f>
        <v>-28.989098889193464</v>
      </c>
      <c r="AL8" s="1">
        <f t="shared" ref="AL8:AQ8" si="10">+AK24*0.03</f>
        <v>113.85236434624876</v>
      </c>
      <c r="AM8" s="1">
        <f t="shared" si="10"/>
        <v>263.34291997020676</v>
      </c>
      <c r="AN8" s="1">
        <f t="shared" si="10"/>
        <v>419.68650245434463</v>
      </c>
      <c r="AO8" s="1">
        <f t="shared" si="10"/>
        <v>583.09244587826265</v>
      </c>
      <c r="AP8" s="1">
        <f t="shared" si="10"/>
        <v>753.77561833519826</v>
      </c>
      <c r="AQ8" s="1">
        <f t="shared" si="10"/>
        <v>931.95655959327792</v>
      </c>
      <c r="AR8" s="1">
        <f t="shared" ref="AR8" si="11">+AQ24*0.03</f>
        <v>1117.8616220902209</v>
      </c>
      <c r="AS8" s="1">
        <f t="shared" ref="AS8" si="12">+AR24*0.03</f>
        <v>1311.7231153412483</v>
      </c>
      <c r="AT8" s="1">
        <f>+AS24*0.03</f>
        <v>1513.7794538418559</v>
      </c>
      <c r="AU8" s="1">
        <f t="shared" ref="AU8" si="13">+AT24*0.03</f>
        <v>1724.2753085490392</v>
      </c>
      <c r="AV8" s="1">
        <f t="shared" ref="AV8" si="14">+AU24*0.03</f>
        <v>1943.4617620265665</v>
      </c>
      <c r="AW8" s="1">
        <f>+AV24*0.03</f>
        <v>2171.5964673419126</v>
      </c>
    </row>
    <row r="9" spans="1:150" x14ac:dyDescent="0.2">
      <c r="A9" s="1" t="s">
        <v>6</v>
      </c>
      <c r="I9" s="1">
        <f t="shared" ref="I9:P9" si="15">+I7+I8</f>
        <v>858</v>
      </c>
      <c r="J9" s="1">
        <f t="shared" si="15"/>
        <v>1496</v>
      </c>
      <c r="K9" s="1">
        <f t="shared" si="15"/>
        <v>1388</v>
      </c>
      <c r="L9" s="1">
        <f t="shared" si="15"/>
        <v>1409</v>
      </c>
      <c r="M9" s="1">
        <f t="shared" si="15"/>
        <v>1159</v>
      </c>
      <c r="N9" s="1">
        <f t="shared" si="15"/>
        <v>2743</v>
      </c>
      <c r="O9" s="1">
        <f t="shared" si="15"/>
        <v>874</v>
      </c>
      <c r="P9" s="1">
        <f t="shared" si="15"/>
        <v>1323</v>
      </c>
      <c r="T9" s="1">
        <f t="shared" ref="T9:AR9" si="16">+T7+T8</f>
        <v>2100</v>
      </c>
      <c r="U9" s="1">
        <f t="shared" si="16"/>
        <v>2037</v>
      </c>
      <c r="V9" s="1">
        <f t="shared" si="16"/>
        <v>2852</v>
      </c>
      <c r="W9" s="1">
        <f t="shared" si="16"/>
        <v>3452</v>
      </c>
      <c r="X9" s="1">
        <f t="shared" si="16"/>
        <v>2922</v>
      </c>
      <c r="Y9" s="1">
        <f t="shared" si="16"/>
        <v>2473</v>
      </c>
      <c r="Z9" s="1">
        <f t="shared" si="16"/>
        <v>3772</v>
      </c>
      <c r="AA9" s="1">
        <f t="shared" si="16"/>
        <v>3357</v>
      </c>
      <c r="AB9" s="1">
        <f t="shared" si="16"/>
        <v>3745</v>
      </c>
      <c r="AC9" s="1">
        <f t="shared" si="16"/>
        <v>3740</v>
      </c>
      <c r="AD9" s="1">
        <f t="shared" si="16"/>
        <v>4544</v>
      </c>
      <c r="AE9" s="1">
        <f t="shared" si="16"/>
        <v>3505</v>
      </c>
      <c r="AF9" s="1">
        <f t="shared" si="16"/>
        <v>5452</v>
      </c>
      <c r="AG9" s="1">
        <f t="shared" si="16"/>
        <v>5158.5600000000031</v>
      </c>
      <c r="AH9" s="1">
        <f t="shared" si="16"/>
        <v>5370.1868979999972</v>
      </c>
      <c r="AI9" s="1">
        <f t="shared" si="16"/>
        <v>5587.0203073633975</v>
      </c>
      <c r="AJ9" s="1">
        <f t="shared" si="16"/>
        <v>5809.1653309575504</v>
      </c>
      <c r="AK9" s="1">
        <f t="shared" si="16"/>
        <v>6027.0659593013597</v>
      </c>
      <c r="AL9" s="1">
        <f t="shared" si="16"/>
        <v>6307.6183807577218</v>
      </c>
      <c r="AM9" s="1">
        <f t="shared" si="16"/>
        <v>6596.7756322421073</v>
      </c>
      <c r="AN9" s="1">
        <f t="shared" si="16"/>
        <v>6894.7655453129964</v>
      </c>
      <c r="AO9" s="1">
        <f t="shared" si="16"/>
        <v>7201.8216226555123</v>
      </c>
      <c r="AP9" s="1">
        <f t="shared" si="16"/>
        <v>7518.1831754464047</v>
      </c>
      <c r="AQ9" s="1">
        <f t="shared" si="16"/>
        <v>7844.0954640060281</v>
      </c>
      <c r="AR9" s="1">
        <f t="shared" si="16"/>
        <v>8179.8098418155078</v>
      </c>
      <c r="AS9" s="1">
        <f>+AS7+AS8</f>
        <v>8525.5839029792132</v>
      </c>
      <c r="AT9" s="1">
        <f>+AT7+AT8</f>
        <v>8881.6816332144954</v>
      </c>
      <c r="AU9" s="1">
        <f>+AU7+AU8</f>
        <v>9248.3735644526278</v>
      </c>
      <c r="AV9" s="1">
        <f>+AV7+AV8</f>
        <v>9625.9369331369489</v>
      </c>
      <c r="AW9" s="1">
        <f>+AW7+AW8</f>
        <v>10014.655842306012</v>
      </c>
    </row>
    <row r="10" spans="1:150" x14ac:dyDescent="0.2">
      <c r="A10" s="1" t="s">
        <v>7</v>
      </c>
      <c r="I10" s="1">
        <v>270</v>
      </c>
      <c r="J10" s="1">
        <v>658</v>
      </c>
      <c r="K10" s="1">
        <v>-268</v>
      </c>
      <c r="L10" s="1">
        <v>354</v>
      </c>
      <c r="M10" s="1">
        <v>257</v>
      </c>
      <c r="N10" s="1">
        <v>632</v>
      </c>
      <c r="O10" s="1">
        <v>295</v>
      </c>
      <c r="P10" s="1">
        <v>326</v>
      </c>
      <c r="T10" s="1">
        <v>116</v>
      </c>
      <c r="U10" s="1">
        <v>168</v>
      </c>
      <c r="V10" s="1">
        <v>60</v>
      </c>
      <c r="W10" s="1">
        <v>353</v>
      </c>
      <c r="X10" s="1">
        <v>593</v>
      </c>
      <c r="Y10" s="1">
        <v>129</v>
      </c>
      <c r="Z10" s="1">
        <v>688</v>
      </c>
      <c r="AA10" s="1">
        <v>778</v>
      </c>
      <c r="AB10" s="1">
        <v>-2</v>
      </c>
      <c r="AC10" s="1">
        <v>1224</v>
      </c>
      <c r="AD10" s="1">
        <v>1190</v>
      </c>
      <c r="AE10" s="1">
        <v>865</v>
      </c>
      <c r="AF10" s="1">
        <v>1537</v>
      </c>
      <c r="AG10" s="1">
        <f t="shared" ref="AG10:AR10" si="17">+AG9*0.21</f>
        <v>1083.2976000000006</v>
      </c>
      <c r="AH10" s="1">
        <f t="shared" si="17"/>
        <v>1127.7392485799994</v>
      </c>
      <c r="AI10" s="1">
        <f t="shared" si="17"/>
        <v>1173.2742645463134</v>
      </c>
      <c r="AJ10" s="1">
        <f t="shared" si="17"/>
        <v>1219.9247195010855</v>
      </c>
      <c r="AK10" s="1">
        <f t="shared" si="17"/>
        <v>1265.6838514532856</v>
      </c>
      <c r="AL10" s="1">
        <f t="shared" si="17"/>
        <v>1324.5998599591214</v>
      </c>
      <c r="AM10" s="1">
        <f t="shared" si="17"/>
        <v>1385.3228827708424</v>
      </c>
      <c r="AN10" s="1">
        <f t="shared" si="17"/>
        <v>1447.9007645157292</v>
      </c>
      <c r="AO10" s="1">
        <f t="shared" si="17"/>
        <v>1512.3825407576576</v>
      </c>
      <c r="AP10" s="1">
        <f t="shared" si="17"/>
        <v>1578.818466843745</v>
      </c>
      <c r="AQ10" s="1">
        <f t="shared" si="17"/>
        <v>1647.2600474412659</v>
      </c>
      <c r="AR10" s="1">
        <f t="shared" si="17"/>
        <v>1717.7600667812565</v>
      </c>
      <c r="AS10" s="1">
        <f>+AS9*0.21</f>
        <v>1790.3726196256348</v>
      </c>
      <c r="AT10" s="1">
        <f>+AT9*0.21</f>
        <v>1865.1531429750439</v>
      </c>
      <c r="AU10" s="1">
        <f>+AU9*0.21</f>
        <v>1942.1584485350518</v>
      </c>
      <c r="AV10" s="1">
        <f>+AV9*0.21</f>
        <v>2021.4467559587592</v>
      </c>
      <c r="AW10" s="1">
        <f>+AW9*0.21</f>
        <v>2103.0777268842626</v>
      </c>
    </row>
    <row r="11" spans="1:150" x14ac:dyDescent="0.2">
      <c r="A11" s="1" t="s">
        <v>8</v>
      </c>
      <c r="I11" s="1">
        <f t="shared" ref="I11:P11" si="18">+I9-I10</f>
        <v>588</v>
      </c>
      <c r="J11" s="1">
        <f t="shared" si="18"/>
        <v>838</v>
      </c>
      <c r="K11" s="1">
        <f t="shared" si="18"/>
        <v>1656</v>
      </c>
      <c r="L11" s="1">
        <f t="shared" si="18"/>
        <v>1055</v>
      </c>
      <c r="M11" s="1">
        <f t="shared" si="18"/>
        <v>902</v>
      </c>
      <c r="N11" s="1">
        <f t="shared" si="18"/>
        <v>2111</v>
      </c>
      <c r="O11" s="1">
        <f t="shared" si="18"/>
        <v>579</v>
      </c>
      <c r="P11" s="1">
        <f t="shared" si="18"/>
        <v>997</v>
      </c>
      <c r="T11" s="1">
        <f t="shared" ref="T11:AR11" si="19">+T9-T10</f>
        <v>1984</v>
      </c>
      <c r="U11" s="1">
        <f t="shared" si="19"/>
        <v>1869</v>
      </c>
      <c r="V11" s="1">
        <f t="shared" si="19"/>
        <v>2792</v>
      </c>
      <c r="W11" s="1">
        <f t="shared" si="19"/>
        <v>3099</v>
      </c>
      <c r="X11" s="1">
        <f t="shared" si="19"/>
        <v>2329</v>
      </c>
      <c r="Y11" s="1">
        <f t="shared" si="19"/>
        <v>2344</v>
      </c>
      <c r="Z11" s="1">
        <f t="shared" si="19"/>
        <v>3084</v>
      </c>
      <c r="AA11" s="1">
        <f t="shared" si="19"/>
        <v>2579</v>
      </c>
      <c r="AB11" s="1">
        <f t="shared" si="19"/>
        <v>3747</v>
      </c>
      <c r="AC11" s="1">
        <f t="shared" si="19"/>
        <v>2516</v>
      </c>
      <c r="AD11" s="1">
        <f t="shared" si="19"/>
        <v>3354</v>
      </c>
      <c r="AE11" s="1">
        <f t="shared" si="19"/>
        <v>2640</v>
      </c>
      <c r="AF11" s="1">
        <f t="shared" si="19"/>
        <v>3915</v>
      </c>
      <c r="AG11" s="1">
        <f t="shared" si="19"/>
        <v>4075.2624000000023</v>
      </c>
      <c r="AH11" s="1">
        <f t="shared" si="19"/>
        <v>4242.447649419998</v>
      </c>
      <c r="AI11" s="1">
        <f t="shared" si="19"/>
        <v>4413.7460428170843</v>
      </c>
      <c r="AJ11" s="1">
        <f t="shared" si="19"/>
        <v>4589.2406114564646</v>
      </c>
      <c r="AK11" s="1">
        <f t="shared" si="19"/>
        <v>4761.3821078480742</v>
      </c>
      <c r="AL11" s="1">
        <f t="shared" si="19"/>
        <v>4983.0185207986005</v>
      </c>
      <c r="AM11" s="1">
        <f t="shared" si="19"/>
        <v>5211.4527494712647</v>
      </c>
      <c r="AN11" s="1">
        <f t="shared" si="19"/>
        <v>5446.8647807972675</v>
      </c>
      <c r="AO11" s="1">
        <f t="shared" si="19"/>
        <v>5689.4390818978545</v>
      </c>
      <c r="AP11" s="1">
        <f t="shared" si="19"/>
        <v>5939.3647086026594</v>
      </c>
      <c r="AQ11" s="1">
        <f t="shared" si="19"/>
        <v>6196.8354165647625</v>
      </c>
      <c r="AR11" s="1">
        <f t="shared" si="19"/>
        <v>6462.0497750342511</v>
      </c>
      <c r="AS11" s="1">
        <f>+AS9-AS10</f>
        <v>6735.2112833535784</v>
      </c>
      <c r="AT11" s="1">
        <f>+AT9-AT10</f>
        <v>7016.5284902394515</v>
      </c>
      <c r="AU11" s="1">
        <f>+AU9-AU10</f>
        <v>7306.2151159175755</v>
      </c>
      <c r="AV11" s="1">
        <f>+AV9-AV10</f>
        <v>7604.4901771781897</v>
      </c>
      <c r="AW11" s="1">
        <f>+AW9-AW10</f>
        <v>7911.5781154217493</v>
      </c>
      <c r="AX11" s="1">
        <f t="shared" ref="AX11:CC11" si="20">+AW11*(1+$AZ$16)</f>
        <v>7832.4623342675313</v>
      </c>
      <c r="AY11" s="1">
        <f t="shared" si="20"/>
        <v>7754.137710924856</v>
      </c>
      <c r="AZ11" s="1">
        <f t="shared" si="20"/>
        <v>7676.5963338156071</v>
      </c>
      <c r="BA11" s="1">
        <f t="shared" si="20"/>
        <v>7599.8303704774507</v>
      </c>
      <c r="BB11" s="1">
        <f t="shared" si="20"/>
        <v>7523.8320667726757</v>
      </c>
      <c r="BC11" s="1">
        <f t="shared" si="20"/>
        <v>7448.5937461049489</v>
      </c>
      <c r="BD11" s="1">
        <f t="shared" si="20"/>
        <v>7374.1078086438993</v>
      </c>
      <c r="BE11" s="1">
        <f t="shared" si="20"/>
        <v>7300.36673055746</v>
      </c>
      <c r="BF11" s="1">
        <f t="shared" si="20"/>
        <v>7227.3630632518853</v>
      </c>
      <c r="BG11" s="1">
        <f t="shared" si="20"/>
        <v>7155.0894326193666</v>
      </c>
      <c r="BH11" s="1">
        <f t="shared" si="20"/>
        <v>7083.5385382931727</v>
      </c>
      <c r="BI11" s="1">
        <f t="shared" si="20"/>
        <v>7012.7031529102405</v>
      </c>
      <c r="BJ11" s="1">
        <f t="shared" si="20"/>
        <v>6942.5761213811384</v>
      </c>
      <c r="BK11" s="1">
        <f t="shared" si="20"/>
        <v>6873.1503601673267</v>
      </c>
      <c r="BL11" s="1">
        <f t="shared" si="20"/>
        <v>6804.4188565656532</v>
      </c>
      <c r="BM11" s="1">
        <f t="shared" si="20"/>
        <v>6736.3746679999967</v>
      </c>
      <c r="BN11" s="1">
        <f t="shared" si="20"/>
        <v>6669.0109213199967</v>
      </c>
      <c r="BO11" s="1">
        <f t="shared" si="20"/>
        <v>6602.3208121067964</v>
      </c>
      <c r="BP11" s="1">
        <f t="shared" si="20"/>
        <v>6536.2976039857285</v>
      </c>
      <c r="BQ11" s="1">
        <f t="shared" si="20"/>
        <v>6470.9346279458714</v>
      </c>
      <c r="BR11" s="1">
        <f t="shared" si="20"/>
        <v>6406.2252816664122</v>
      </c>
      <c r="BS11" s="1">
        <f t="shared" si="20"/>
        <v>6342.1630288497481</v>
      </c>
      <c r="BT11" s="1">
        <f t="shared" si="20"/>
        <v>6278.7413985612502</v>
      </c>
      <c r="BU11" s="1">
        <f t="shared" si="20"/>
        <v>6215.9539845756381</v>
      </c>
      <c r="BV11" s="1">
        <f t="shared" si="20"/>
        <v>6153.7944447298814</v>
      </c>
      <c r="BW11" s="1">
        <f t="shared" si="20"/>
        <v>6092.2565002825822</v>
      </c>
      <c r="BX11" s="1">
        <f t="shared" si="20"/>
        <v>6031.3339352797566</v>
      </c>
      <c r="BY11" s="1">
        <f t="shared" si="20"/>
        <v>5971.0205959269588</v>
      </c>
      <c r="BZ11" s="1">
        <f t="shared" si="20"/>
        <v>5911.3103899676889</v>
      </c>
      <c r="CA11" s="1">
        <f t="shared" si="20"/>
        <v>5852.1972860680116</v>
      </c>
      <c r="CB11" s="1">
        <f t="shared" si="20"/>
        <v>5793.6753132073318</v>
      </c>
      <c r="CC11" s="1">
        <f t="shared" si="20"/>
        <v>5735.7385600752586</v>
      </c>
      <c r="CD11" s="1">
        <f t="shared" ref="CD11:DI11" si="21">+CC11*(1+$AZ$16)</f>
        <v>5678.3811744745062</v>
      </c>
      <c r="CE11" s="1">
        <f t="shared" si="21"/>
        <v>5621.5973627297608</v>
      </c>
      <c r="CF11" s="1">
        <f t="shared" si="21"/>
        <v>5565.3813891024629</v>
      </c>
      <c r="CG11" s="1">
        <f t="shared" si="21"/>
        <v>5509.7275752114383</v>
      </c>
      <c r="CH11" s="1">
        <f t="shared" si="21"/>
        <v>5454.6302994593243</v>
      </c>
      <c r="CI11" s="1">
        <f t="shared" si="21"/>
        <v>5400.0839964647312</v>
      </c>
      <c r="CJ11" s="1">
        <f t="shared" si="21"/>
        <v>5346.0831565000835</v>
      </c>
      <c r="CK11" s="1">
        <f t="shared" si="21"/>
        <v>5292.6223249350824</v>
      </c>
      <c r="CL11" s="1">
        <f t="shared" si="21"/>
        <v>5239.6961016857313</v>
      </c>
      <c r="CM11" s="1">
        <f t="shared" si="21"/>
        <v>5187.2991406688743</v>
      </c>
      <c r="CN11" s="1">
        <f t="shared" si="21"/>
        <v>5135.4261492621854</v>
      </c>
      <c r="CO11" s="1">
        <f t="shared" si="21"/>
        <v>5084.0718877695635</v>
      </c>
      <c r="CP11" s="1">
        <f t="shared" si="21"/>
        <v>5033.231168891868</v>
      </c>
      <c r="CQ11" s="1">
        <f t="shared" si="21"/>
        <v>4982.8988572029493</v>
      </c>
      <c r="CR11" s="1">
        <f t="shared" si="21"/>
        <v>4933.0698686309197</v>
      </c>
      <c r="CS11" s="1">
        <f t="shared" si="21"/>
        <v>4883.7391699446107</v>
      </c>
      <c r="CT11" s="1">
        <f t="shared" si="21"/>
        <v>4834.9017782451647</v>
      </c>
      <c r="CU11" s="1">
        <f t="shared" si="21"/>
        <v>4786.5527604627132</v>
      </c>
      <c r="CV11" s="1">
        <f t="shared" si="21"/>
        <v>4738.6872328580857</v>
      </c>
      <c r="CW11" s="1">
        <f t="shared" si="21"/>
        <v>4691.3003605295053</v>
      </c>
      <c r="CX11" s="1">
        <f t="shared" si="21"/>
        <v>4644.3873569242105</v>
      </c>
      <c r="CY11" s="1">
        <f t="shared" si="21"/>
        <v>4597.9434833549685</v>
      </c>
      <c r="CZ11" s="1">
        <f t="shared" si="21"/>
        <v>4551.9640485214186</v>
      </c>
      <c r="DA11" s="1">
        <f t="shared" si="21"/>
        <v>4506.4444080362045</v>
      </c>
      <c r="DB11" s="1">
        <f t="shared" si="21"/>
        <v>4461.3799639558429</v>
      </c>
      <c r="DC11" s="1">
        <f t="shared" si="21"/>
        <v>4416.7661643162846</v>
      </c>
      <c r="DD11" s="1">
        <f t="shared" si="21"/>
        <v>4372.5985026731214</v>
      </c>
      <c r="DE11" s="1">
        <f t="shared" si="21"/>
        <v>4328.8725176463904</v>
      </c>
      <c r="DF11" s="1">
        <f t="shared" si="21"/>
        <v>4285.5837924699263</v>
      </c>
      <c r="DG11" s="1">
        <f t="shared" si="21"/>
        <v>4242.7279545452266</v>
      </c>
      <c r="DH11" s="1">
        <f t="shared" si="21"/>
        <v>4200.3006749997739</v>
      </c>
      <c r="DI11" s="1">
        <f t="shared" si="21"/>
        <v>4158.2976682497765</v>
      </c>
      <c r="DJ11" s="1">
        <f t="shared" ref="DJ11:ET11" si="22">+DI11*(1+$AZ$16)</f>
        <v>4116.7146915672784</v>
      </c>
      <c r="DK11" s="1">
        <f t="shared" si="22"/>
        <v>4075.5475446516057</v>
      </c>
      <c r="DL11" s="1">
        <f t="shared" si="22"/>
        <v>4034.7920692050898</v>
      </c>
      <c r="DM11" s="1">
        <f t="shared" si="22"/>
        <v>3994.4441485130387</v>
      </c>
      <c r="DN11" s="1">
        <f t="shared" si="22"/>
        <v>3954.4997070279082</v>
      </c>
      <c r="DO11" s="1">
        <f t="shared" si="22"/>
        <v>3914.9547099576293</v>
      </c>
      <c r="DP11" s="1">
        <f t="shared" si="22"/>
        <v>3875.8051628580529</v>
      </c>
      <c r="DQ11" s="1">
        <f t="shared" si="22"/>
        <v>3837.0471112294722</v>
      </c>
      <c r="DR11" s="1">
        <f t="shared" si="22"/>
        <v>3798.6766401171776</v>
      </c>
      <c r="DS11" s="1">
        <f t="shared" si="22"/>
        <v>3760.6898737160059</v>
      </c>
      <c r="DT11" s="1">
        <f t="shared" si="22"/>
        <v>3723.0829749788459</v>
      </c>
      <c r="DU11" s="1">
        <f t="shared" si="22"/>
        <v>3685.8521452290574</v>
      </c>
      <c r="DV11" s="1">
        <f t="shared" si="22"/>
        <v>3648.993623776767</v>
      </c>
      <c r="DW11" s="1">
        <f t="shared" si="22"/>
        <v>3612.5036875389992</v>
      </c>
      <c r="DX11" s="1">
        <f t="shared" si="22"/>
        <v>3576.3786506636093</v>
      </c>
      <c r="DY11" s="1">
        <f t="shared" si="22"/>
        <v>3540.614864156973</v>
      </c>
      <c r="DZ11" s="1">
        <f t="shared" si="22"/>
        <v>3505.2087155154031</v>
      </c>
      <c r="EA11" s="1">
        <f t="shared" si="22"/>
        <v>3470.1566283602492</v>
      </c>
      <c r="EB11" s="1">
        <f t="shared" si="22"/>
        <v>3435.4550620766468</v>
      </c>
      <c r="EC11" s="1">
        <f t="shared" si="22"/>
        <v>3401.1005114558802</v>
      </c>
      <c r="ED11" s="1">
        <f t="shared" si="22"/>
        <v>3367.0895063413213</v>
      </c>
      <c r="EE11" s="1">
        <f t="shared" si="22"/>
        <v>3333.418611277908</v>
      </c>
      <c r="EF11" s="1">
        <f t="shared" si="22"/>
        <v>3300.0844251651288</v>
      </c>
      <c r="EG11" s="1">
        <f t="shared" si="22"/>
        <v>3267.0835809134774</v>
      </c>
      <c r="EH11" s="1">
        <f t="shared" si="22"/>
        <v>3234.4127451043428</v>
      </c>
      <c r="EI11" s="1">
        <f t="shared" si="22"/>
        <v>3202.0686176532995</v>
      </c>
      <c r="EJ11" s="1">
        <f t="shared" si="22"/>
        <v>3170.0479314767663</v>
      </c>
      <c r="EK11" s="1">
        <f t="shared" si="22"/>
        <v>3138.3474521619987</v>
      </c>
      <c r="EL11" s="1">
        <f t="shared" si="22"/>
        <v>3106.9639776403787</v>
      </c>
      <c r="EM11" s="1">
        <f t="shared" si="22"/>
        <v>3075.8943378639751</v>
      </c>
      <c r="EN11" s="1">
        <f t="shared" si="22"/>
        <v>3045.1353944853354</v>
      </c>
      <c r="EO11" s="1">
        <f t="shared" si="22"/>
        <v>3014.6840405404819</v>
      </c>
      <c r="EP11" s="1">
        <f t="shared" si="22"/>
        <v>2984.537200135077</v>
      </c>
      <c r="EQ11" s="1">
        <f t="shared" si="22"/>
        <v>2954.6918281337262</v>
      </c>
      <c r="ER11" s="1">
        <f t="shared" si="22"/>
        <v>2925.144909852389</v>
      </c>
      <c r="ES11" s="1">
        <f t="shared" si="22"/>
        <v>2895.8934607538649</v>
      </c>
      <c r="ET11" s="1">
        <f t="shared" si="22"/>
        <v>2866.9345261463263</v>
      </c>
    </row>
    <row r="12" spans="1:150" s="4" customFormat="1" x14ac:dyDescent="0.2">
      <c r="A12" s="4" t="s">
        <v>9</v>
      </c>
      <c r="I12" s="4">
        <f t="shared" ref="I12:P12" si="23">+I11/I13</f>
        <v>0.43048820207877031</v>
      </c>
      <c r="J12" s="4">
        <f t="shared" si="23"/>
        <v>0.62143919005620474</v>
      </c>
      <c r="K12" s="4">
        <f t="shared" si="23"/>
        <v>1.2280468958628581</v>
      </c>
      <c r="L12" s="4">
        <f t="shared" si="23"/>
        <v>0.78897090231862765</v>
      </c>
      <c r="M12" s="4">
        <f t="shared" si="23"/>
        <v>0.66889993965476935</v>
      </c>
      <c r="N12" s="4">
        <f t="shared" si="23"/>
        <v>1.5654631625401529</v>
      </c>
      <c r="O12" s="4">
        <f t="shared" si="23"/>
        <v>0.42937146902451379</v>
      </c>
      <c r="P12" s="4">
        <f t="shared" si="23"/>
        <v>0.74559619868404903</v>
      </c>
      <c r="T12" s="4">
        <f t="shared" ref="T12:AR12" si="24">+T11/T13</f>
        <v>1.4837140001897224</v>
      </c>
      <c r="U12" s="4">
        <f t="shared" si="24"/>
        <v>1.0511835606418702</v>
      </c>
      <c r="V12" s="4">
        <f t="shared" si="24"/>
        <v>1.6371558438799136</v>
      </c>
      <c r="W12" s="4">
        <f t="shared" si="24"/>
        <v>1.8627816950067844</v>
      </c>
      <c r="X12" s="4">
        <f t="shared" si="24"/>
        <v>1.7417187028436811</v>
      </c>
      <c r="Y12" s="4">
        <f t="shared" si="24"/>
        <v>1.5336645174990897</v>
      </c>
      <c r="Z12" s="4">
        <f t="shared" si="24"/>
        <v>2.0723911160802149</v>
      </c>
      <c r="AA12" s="4">
        <f t="shared" si="24"/>
        <v>1.9286786323030716</v>
      </c>
      <c r="AB12" s="4">
        <f t="shared" si="24"/>
        <v>2.6111384459513305</v>
      </c>
      <c r="AC12" s="4">
        <f t="shared" si="24"/>
        <v>1.7728619663251342</v>
      </c>
      <c r="AD12" s="4">
        <f t="shared" si="24"/>
        <v>2.5082544136271818</v>
      </c>
      <c r="AE12" s="4">
        <f t="shared" si="24"/>
        <v>1.9328041725985605</v>
      </c>
      <c r="AF12" s="4">
        <f t="shared" si="24"/>
        <v>2.9032630418496916</v>
      </c>
      <c r="AG12" s="4">
        <f t="shared" si="24"/>
        <v>3.0403516146071015</v>
      </c>
      <c r="AH12" s="4">
        <f t="shared" si="24"/>
        <v>3.1841853683428121</v>
      </c>
      <c r="AI12" s="4">
        <f t="shared" si="24"/>
        <v>3.3327505382831544</v>
      </c>
      <c r="AJ12" s="4">
        <f t="shared" si="24"/>
        <v>3.486180824584987</v>
      </c>
      <c r="AK12" s="4">
        <f t="shared" si="24"/>
        <v>3.6387794459219687</v>
      </c>
      <c r="AL12" s="4">
        <f t="shared" si="24"/>
        <v>3.8311469836174901</v>
      </c>
      <c r="AM12" s="4">
        <f t="shared" si="24"/>
        <v>4.0309622682313861</v>
      </c>
      <c r="AN12" s="4">
        <f t="shared" si="24"/>
        <v>4.2384799983534789</v>
      </c>
      <c r="AO12" s="4">
        <f t="shared" si="24"/>
        <v>4.4539630657529488</v>
      </c>
      <c r="AP12" s="4">
        <f t="shared" si="24"/>
        <v>4.6776828104541943</v>
      </c>
      <c r="AQ12" s="4">
        <f t="shared" si="24"/>
        <v>4.9099192836114947</v>
      </c>
      <c r="AR12" s="4">
        <f t="shared" si="24"/>
        <v>5.1509615184185344</v>
      </c>
      <c r="AS12" s="4">
        <f>+AS11/AS13</f>
        <v>5.4011078092959419</v>
      </c>
      <c r="AT12" s="4">
        <f>+AT11/AT13</f>
        <v>5.6606659996072741</v>
      </c>
      <c r="AU12" s="4">
        <f>+AU11/AU13</f>
        <v>5.9299537781614617</v>
      </c>
      <c r="AV12" s="4">
        <f>+AV11/AV13</f>
        <v>6.2092989847675177</v>
      </c>
      <c r="AW12" s="4">
        <f>+AW11/AW13</f>
        <v>6.4990399251151372</v>
      </c>
    </row>
    <row r="13" spans="1:150" x14ac:dyDescent="0.2">
      <c r="A13" s="1" t="s">
        <v>10</v>
      </c>
      <c r="I13" s="1">
        <f>1996.537778-630.646687</f>
        <v>1365.891091</v>
      </c>
      <c r="J13" s="22">
        <f>1996.537778-648.055073</f>
        <v>1348.4827049999999</v>
      </c>
      <c r="K13" s="22">
        <f>1996.537778-648.055073</f>
        <v>1348.4827049999999</v>
      </c>
      <c r="L13" s="22">
        <f>1996.537778-659.352849</f>
        <v>1337.184929</v>
      </c>
      <c r="M13" s="1">
        <f>1996.537778-648.055073</f>
        <v>1348.4827049999999</v>
      </c>
      <c r="N13" s="1">
        <f>1996.537778-648.055073</f>
        <v>1348.4827049999999</v>
      </c>
      <c r="O13" s="1">
        <f>1996.537778-648.055073</f>
        <v>1348.4827049999999</v>
      </c>
      <c r="P13" s="1">
        <f>1996.537778-659.352849</f>
        <v>1337.184929</v>
      </c>
      <c r="R13" s="3">
        <f>+(AF13/T13)^(1/$S$13)-1</f>
        <v>6.4739664149238152E-4</v>
      </c>
      <c r="S13" s="1">
        <v>13</v>
      </c>
      <c r="T13" s="22">
        <f>1996.537778-659.352849</f>
        <v>1337.184929</v>
      </c>
      <c r="U13" s="1">
        <f>1996.537778-218.541936</f>
        <v>1777.9958419999998</v>
      </c>
      <c r="V13" s="1">
        <f>1996.537778-291.141184</f>
        <v>1705.3965939999998</v>
      </c>
      <c r="W13" s="1">
        <f>1996.537778-332.896779</f>
        <v>1663.640999</v>
      </c>
      <c r="X13" s="22">
        <f>1996.537778-659.352849</f>
        <v>1337.184929</v>
      </c>
      <c r="Y13" s="1">
        <f>1996.537778-468.172237</f>
        <v>1528.3655409999999</v>
      </c>
      <c r="Z13" s="1">
        <f>1996.537778-508.401694</f>
        <v>1488.1360839999998</v>
      </c>
      <c r="AA13" s="22">
        <f>1996.537778-659.352849</f>
        <v>1337.184929</v>
      </c>
      <c r="AB13" s="1">
        <f>1996.537778-561.531524</f>
        <v>1435.0062539999999</v>
      </c>
      <c r="AC13" s="1">
        <f>1996.537778-577.363557</f>
        <v>1419.1742209999998</v>
      </c>
      <c r="AD13" s="22">
        <f>1996.537778-659.352849</f>
        <v>1337.184929</v>
      </c>
      <c r="AE13" s="1">
        <f>1996.537778-630.646687</f>
        <v>1365.891091</v>
      </c>
      <c r="AF13" s="1">
        <f>1996.537778-648.055073</f>
        <v>1348.4827049999999</v>
      </c>
      <c r="AG13" s="1">
        <f t="shared" ref="AG13:AR13" si="25">+AF13*0.994</f>
        <v>1340.3918087699999</v>
      </c>
      <c r="AH13" s="1">
        <f t="shared" si="25"/>
        <v>1332.3494579173798</v>
      </c>
      <c r="AI13" s="1">
        <f t="shared" si="25"/>
        <v>1324.3553611698756</v>
      </c>
      <c r="AJ13" s="1">
        <f t="shared" si="25"/>
        <v>1316.4092290028564</v>
      </c>
      <c r="AK13" s="1">
        <f t="shared" si="25"/>
        <v>1308.5107736288392</v>
      </c>
      <c r="AL13" s="1">
        <f t="shared" si="25"/>
        <v>1300.6597089870661</v>
      </c>
      <c r="AM13" s="1">
        <f t="shared" si="25"/>
        <v>1292.8557507331436</v>
      </c>
      <c r="AN13" s="1">
        <f t="shared" si="25"/>
        <v>1285.0986162287447</v>
      </c>
      <c r="AO13" s="1">
        <f t="shared" si="25"/>
        <v>1277.3880245313724</v>
      </c>
      <c r="AP13" s="1">
        <f t="shared" si="25"/>
        <v>1269.7236963841842</v>
      </c>
      <c r="AQ13" s="1">
        <f t="shared" si="25"/>
        <v>1262.1053542058792</v>
      </c>
      <c r="AR13" s="1">
        <f t="shared" si="25"/>
        <v>1254.5327220806439</v>
      </c>
      <c r="AS13" s="1">
        <f>+Model!AR13*0.994</f>
        <v>1247.0055257481599</v>
      </c>
      <c r="AT13" s="1">
        <f>+AS13*0.994</f>
        <v>1239.5234925936709</v>
      </c>
      <c r="AU13" s="1">
        <f>+AT13*0.994</f>
        <v>1232.0863516381089</v>
      </c>
      <c r="AV13" s="1">
        <f>+AU13*0.994</f>
        <v>1224.6938335282803</v>
      </c>
      <c r="AW13" s="1">
        <f>+AV13*0.994</f>
        <v>1217.3456705271105</v>
      </c>
    </row>
    <row r="15" spans="1:150" s="3" customFormat="1" x14ac:dyDescent="0.2">
      <c r="A15" s="3" t="s">
        <v>11</v>
      </c>
      <c r="I15" s="3">
        <f t="shared" ref="I15:P15" si="26">+I5/I3</f>
        <v>0.35365152386428983</v>
      </c>
      <c r="J15" s="3">
        <f t="shared" si="26"/>
        <v>0.37595461488108228</v>
      </c>
      <c r="K15" s="3">
        <f t="shared" si="26"/>
        <v>0.39426354766662747</v>
      </c>
      <c r="L15" s="3">
        <f t="shared" si="26"/>
        <v>0.38697530180529405</v>
      </c>
      <c r="M15" s="3">
        <f t="shared" si="26"/>
        <v>0.37255744041228256</v>
      </c>
      <c r="N15" s="3">
        <f t="shared" si="26"/>
        <v>0.511194833153929</v>
      </c>
      <c r="O15" s="3">
        <f t="shared" si="26"/>
        <v>0.33525110871389191</v>
      </c>
      <c r="P15" s="3">
        <f t="shared" si="26"/>
        <v>0.32583659278574534</v>
      </c>
      <c r="T15" s="3">
        <f t="shared" ref="T15:AR15" si="27">+T5/T3</f>
        <v>0.36581960346271991</v>
      </c>
      <c r="U15" s="3">
        <f t="shared" si="27"/>
        <v>0.37343995430529775</v>
      </c>
      <c r="V15" s="3">
        <f t="shared" si="27"/>
        <v>0.37139862319045863</v>
      </c>
      <c r="W15" s="3">
        <f t="shared" si="27"/>
        <v>0.36786006307674335</v>
      </c>
      <c r="X15" s="3">
        <f t="shared" si="27"/>
        <v>0.38844648400593873</v>
      </c>
      <c r="Y15" s="3">
        <f t="shared" si="27"/>
        <v>0.39069552135169539</v>
      </c>
      <c r="Z15" s="3">
        <f t="shared" si="27"/>
        <v>0.38867006487488415</v>
      </c>
      <c r="AA15" s="3">
        <f t="shared" si="27"/>
        <v>0.39910555941090292</v>
      </c>
      <c r="AB15" s="3">
        <f t="shared" si="27"/>
        <v>0.39960569042832844</v>
      </c>
      <c r="AC15" s="3">
        <f t="shared" si="27"/>
        <v>0.39298747225461794</v>
      </c>
      <c r="AD15" s="3">
        <f t="shared" si="27"/>
        <v>0.39185236768802229</v>
      </c>
      <c r="AE15" s="3">
        <f t="shared" si="27"/>
        <v>0.35915671831343665</v>
      </c>
      <c r="AF15" s="3">
        <f t="shared" si="27"/>
        <v>0.38216348289649044</v>
      </c>
      <c r="AG15" s="3">
        <f t="shared" si="27"/>
        <v>0.37902725692134576</v>
      </c>
      <c r="AH15" s="3">
        <f t="shared" si="27"/>
        <v>0.38056431816658987</v>
      </c>
      <c r="AI15" s="3">
        <f t="shared" si="27"/>
        <v>0.38209757480479134</v>
      </c>
      <c r="AJ15" s="3">
        <f t="shared" si="27"/>
        <v>0.38362703625329436</v>
      </c>
      <c r="AK15" s="3">
        <f t="shared" si="27"/>
        <v>0.38515271190613271</v>
      </c>
      <c r="AL15" s="3">
        <f t="shared" si="27"/>
        <v>0.38667461113408774</v>
      </c>
      <c r="AM15" s="3">
        <f t="shared" si="27"/>
        <v>0.38819274328474596</v>
      </c>
      <c r="AN15" s="3">
        <f t="shared" si="27"/>
        <v>0.389707117682556</v>
      </c>
      <c r="AO15" s="3">
        <f t="shared" si="27"/>
        <v>0.39121774362888628</v>
      </c>
      <c r="AP15" s="3">
        <f t="shared" si="27"/>
        <v>0.39272463040208205</v>
      </c>
      <c r="AQ15" s="3">
        <f t="shared" si="27"/>
        <v>0.39422778725752239</v>
      </c>
      <c r="AR15" s="3">
        <f t="shared" si="27"/>
        <v>0.39572722342767697</v>
      </c>
      <c r="AS15" s="3">
        <f>+AS5/AS3</f>
        <v>0.39722294812216291</v>
      </c>
      <c r="AT15" s="3">
        <f>+AT5/AT3</f>
        <v>0.39871497052780114</v>
      </c>
      <c r="AU15" s="3">
        <f>+AU5/AU3</f>
        <v>0.40020329980867286</v>
      </c>
      <c r="AV15" s="3">
        <f>+AV5/AV3</f>
        <v>0.40168794510617611</v>
      </c>
      <c r="AW15" s="3">
        <f>+AW5/AW3</f>
        <v>0.40316891553908163</v>
      </c>
      <c r="AY15" s="3" t="s">
        <v>81</v>
      </c>
      <c r="AZ15" s="3">
        <v>0.01</v>
      </c>
    </row>
    <row r="16" spans="1:150" s="3" customFormat="1" x14ac:dyDescent="0.2">
      <c r="A16" s="3" t="s">
        <v>88</v>
      </c>
      <c r="I16" s="3">
        <f>+I6/I3</f>
        <v>0.24508338125359402</v>
      </c>
      <c r="J16" s="3">
        <f t="shared" ref="J16:P16" si="28">+J6/J3</f>
        <v>0.20237835478943922</v>
      </c>
      <c r="K16" s="3">
        <f t="shared" si="28"/>
        <v>0.21970142235805806</v>
      </c>
      <c r="L16" s="3">
        <f t="shared" si="28"/>
        <v>0.22361280318972201</v>
      </c>
      <c r="M16" s="3">
        <f t="shared" si="28"/>
        <v>0.24253811466609404</v>
      </c>
      <c r="N16" s="3">
        <f t="shared" si="28"/>
        <v>0.20861141011840689</v>
      </c>
      <c r="O16" s="3">
        <f t="shared" si="28"/>
        <v>0.22665707778976388</v>
      </c>
      <c r="P16" s="3">
        <f t="shared" si="28"/>
        <v>0.17709691438504999</v>
      </c>
      <c r="T16" s="3">
        <f t="shared" ref="T16:AW16" si="29">+T6/T3</f>
        <v>0.26199385646467466</v>
      </c>
      <c r="U16" s="3">
        <f t="shared" si="29"/>
        <v>0.26205911752106242</v>
      </c>
      <c r="V16" s="3">
        <f t="shared" si="29"/>
        <v>0.24587098784668121</v>
      </c>
      <c r="W16" s="3">
        <f t="shared" si="29"/>
        <v>0.24696297161546549</v>
      </c>
      <c r="X16" s="3">
        <f t="shared" si="29"/>
        <v>0.2556687812120394</v>
      </c>
      <c r="Y16" s="3">
        <f t="shared" si="29"/>
        <v>0.25228561509084596</v>
      </c>
      <c r="Z16" s="3">
        <f t="shared" si="29"/>
        <v>0.22825919060858821</v>
      </c>
      <c r="AA16" s="3">
        <f t="shared" si="29"/>
        <v>0.2496337420001542</v>
      </c>
      <c r="AB16" s="3">
        <f t="shared" si="29"/>
        <v>0.23720426782124632</v>
      </c>
      <c r="AC16" s="3">
        <f t="shared" si="29"/>
        <v>0.2294119860050412</v>
      </c>
      <c r="AD16" s="3">
        <f t="shared" si="29"/>
        <v>0.21807103064066852</v>
      </c>
      <c r="AE16" s="3">
        <f t="shared" si="29"/>
        <v>0.23444246888493778</v>
      </c>
      <c r="AF16" s="3">
        <f t="shared" si="29"/>
        <v>0.22217903154153709</v>
      </c>
      <c r="AG16" s="3">
        <f t="shared" si="29"/>
        <v>0.22330684388438751</v>
      </c>
      <c r="AH16" s="3">
        <f t="shared" si="29"/>
        <v>0.22275410417180241</v>
      </c>
      <c r="AI16" s="3">
        <f t="shared" si="29"/>
        <v>0.22220273262682272</v>
      </c>
      <c r="AJ16" s="3">
        <f t="shared" si="29"/>
        <v>0.22165272586289494</v>
      </c>
      <c r="AK16" s="3">
        <f t="shared" si="29"/>
        <v>0.22110408050184818</v>
      </c>
      <c r="AL16" s="3">
        <f t="shared" si="29"/>
        <v>0.22055679317387331</v>
      </c>
      <c r="AM16" s="3">
        <f t="shared" si="29"/>
        <v>0.22001086051750232</v>
      </c>
      <c r="AN16" s="3">
        <f t="shared" si="29"/>
        <v>0.21946627917958772</v>
      </c>
      <c r="AO16" s="3">
        <f t="shared" si="29"/>
        <v>0.21892304581528182</v>
      </c>
      <c r="AP16" s="3">
        <f t="shared" si="29"/>
        <v>0.21838115708801634</v>
      </c>
      <c r="AQ16" s="3">
        <f t="shared" si="29"/>
        <v>0.21784060966948166</v>
      </c>
      <c r="AR16" s="3">
        <f t="shared" si="29"/>
        <v>0.2173014002396067</v>
      </c>
      <c r="AS16" s="3">
        <f t="shared" si="29"/>
        <v>0.21676352548653838</v>
      </c>
      <c r="AT16" s="3">
        <f t="shared" si="29"/>
        <v>0.2162269821066212</v>
      </c>
      <c r="AU16" s="3">
        <f t="shared" si="29"/>
        <v>0.2156917668043771</v>
      </c>
      <c r="AV16" s="3">
        <f t="shared" si="29"/>
        <v>0.21515787629248512</v>
      </c>
      <c r="AW16" s="3">
        <f t="shared" si="29"/>
        <v>0.21462530729176116</v>
      </c>
      <c r="AY16" s="3" t="s">
        <v>82</v>
      </c>
      <c r="AZ16" s="3">
        <v>-0.01</v>
      </c>
    </row>
    <row r="17" spans="1:52" s="3" customFormat="1" x14ac:dyDescent="0.2">
      <c r="A17" s="3" t="s">
        <v>12</v>
      </c>
      <c r="I17" s="3">
        <f t="shared" ref="I17:P17" si="30">+I7/I3</f>
        <v>0.10856814261069581</v>
      </c>
      <c r="J17" s="3">
        <f t="shared" si="30"/>
        <v>0.17357626009164304</v>
      </c>
      <c r="K17" s="3">
        <f t="shared" si="30"/>
        <v>0.1745621253085694</v>
      </c>
      <c r="L17" s="3">
        <f t="shared" si="30"/>
        <v>0.16336249861557203</v>
      </c>
      <c r="M17" s="3">
        <f t="shared" si="30"/>
        <v>0.13001932574618855</v>
      </c>
      <c r="N17" s="3">
        <f t="shared" si="30"/>
        <v>0.30258342303552205</v>
      </c>
      <c r="O17" s="3">
        <f t="shared" si="30"/>
        <v>0.10859403092412802</v>
      </c>
      <c r="P17" s="3">
        <f t="shared" si="30"/>
        <v>0.14873967840069535</v>
      </c>
      <c r="T17" s="3">
        <f t="shared" ref="T17:AR17" si="31">+T7/T3</f>
        <v>0.10382574699804524</v>
      </c>
      <c r="U17" s="3">
        <f t="shared" si="31"/>
        <v>0.11138083678423533</v>
      </c>
      <c r="V17" s="3">
        <f t="shared" si="31"/>
        <v>0.12552763534377745</v>
      </c>
      <c r="W17" s="3">
        <f t="shared" si="31"/>
        <v>0.12089709146127789</v>
      </c>
      <c r="X17" s="3">
        <f t="shared" si="31"/>
        <v>0.1327777027938993</v>
      </c>
      <c r="Y17" s="3">
        <f t="shared" si="31"/>
        <v>0.13840990626084945</v>
      </c>
      <c r="Z17" s="3">
        <f t="shared" si="31"/>
        <v>0.16041087426629597</v>
      </c>
      <c r="AA17" s="3">
        <f t="shared" si="31"/>
        <v>0.14947181741074872</v>
      </c>
      <c r="AB17" s="3">
        <f t="shared" si="31"/>
        <v>0.1624014226070821</v>
      </c>
      <c r="AC17" s="3">
        <f t="shared" si="31"/>
        <v>0.16357548624957677</v>
      </c>
      <c r="AD17" s="3">
        <f t="shared" si="31"/>
        <v>0.17378133704735377</v>
      </c>
      <c r="AE17" s="3">
        <f t="shared" si="31"/>
        <v>0.12471424942849886</v>
      </c>
      <c r="AF17" s="3">
        <f t="shared" si="31"/>
        <v>0.15998445135495334</v>
      </c>
      <c r="AG17" s="3">
        <f t="shared" si="31"/>
        <v>0.15572041303695827</v>
      </c>
      <c r="AH17" s="3">
        <f t="shared" si="31"/>
        <v>0.15781021399478745</v>
      </c>
      <c r="AI17" s="3">
        <f t="shared" si="31"/>
        <v>0.15989484217796865</v>
      </c>
      <c r="AJ17" s="3">
        <f t="shared" si="31"/>
        <v>0.16197431039039939</v>
      </c>
      <c r="AK17" s="3">
        <f t="shared" si="31"/>
        <v>0.1640486314042845</v>
      </c>
      <c r="AL17" s="3">
        <f t="shared" si="31"/>
        <v>0.16611781796021441</v>
      </c>
      <c r="AM17" s="3">
        <f t="shared" si="31"/>
        <v>0.16818188276724363</v>
      </c>
      <c r="AN17" s="3">
        <f t="shared" si="31"/>
        <v>0.17024083850296826</v>
      </c>
      <c r="AO17" s="3">
        <f t="shared" si="31"/>
        <v>0.17229469781360443</v>
      </c>
      <c r="AP17" s="3">
        <f t="shared" si="31"/>
        <v>0.17434347331406572</v>
      </c>
      <c r="AQ17" s="3">
        <f t="shared" si="31"/>
        <v>0.17638717758804073</v>
      </c>
      <c r="AR17" s="3">
        <f t="shared" si="31"/>
        <v>0.17842582318807026</v>
      </c>
      <c r="AS17" s="3">
        <f>+AS7/AS3</f>
        <v>0.18045942263562451</v>
      </c>
      <c r="AT17" s="3">
        <f>+AT7/AT3</f>
        <v>0.18248798842117994</v>
      </c>
      <c r="AU17" s="3">
        <f>+AU7/AU3</f>
        <v>0.18451153300429574</v>
      </c>
      <c r="AV17" s="3">
        <f>+AV7/AV3</f>
        <v>0.18653006881369102</v>
      </c>
      <c r="AW17" s="3">
        <f>+AW7/AW3</f>
        <v>0.18854360824732044</v>
      </c>
      <c r="AY17" s="3" t="s">
        <v>83</v>
      </c>
      <c r="AZ17" s="3">
        <v>0.1</v>
      </c>
    </row>
    <row r="18" spans="1:52" s="3" customFormat="1" x14ac:dyDescent="0.2">
      <c r="A18" s="3" t="s">
        <v>13</v>
      </c>
      <c r="I18" s="3">
        <f t="shared" ref="I18:P18" si="32">+I11/I3</f>
        <v>6.7625071880391033E-2</v>
      </c>
      <c r="J18" s="3">
        <f t="shared" si="32"/>
        <v>9.14248308967925E-2</v>
      </c>
      <c r="K18" s="3">
        <f t="shared" si="32"/>
        <v>0.19466321852591983</v>
      </c>
      <c r="L18" s="3">
        <f t="shared" si="32"/>
        <v>0.11684571934876509</v>
      </c>
      <c r="M18" s="3">
        <f t="shared" si="32"/>
        <v>9.6843461455872873E-2</v>
      </c>
      <c r="N18" s="3">
        <f t="shared" si="32"/>
        <v>0.22723358449946179</v>
      </c>
      <c r="O18" s="3">
        <f t="shared" si="32"/>
        <v>6.9399496583962605E-2</v>
      </c>
      <c r="P18" s="3">
        <f t="shared" si="32"/>
        <v>0.10832246849196002</v>
      </c>
      <c r="T18" s="3">
        <f t="shared" ref="T18:AR18" si="33">+T11/T3</f>
        <v>5.5403518570231777E-2</v>
      </c>
      <c r="U18" s="3">
        <f t="shared" si="33"/>
        <v>5.3377124089675855E-2</v>
      </c>
      <c r="V18" s="3">
        <f t="shared" si="33"/>
        <v>7.9095725091362368E-2</v>
      </c>
      <c r="W18" s="3">
        <f t="shared" si="33"/>
        <v>9.0497605419927574E-2</v>
      </c>
      <c r="X18" s="3">
        <f t="shared" si="33"/>
        <v>7.8586853826427314E-2</v>
      </c>
      <c r="Y18" s="3">
        <f t="shared" si="33"/>
        <v>9.0421633298615134E-2</v>
      </c>
      <c r="Z18" s="3">
        <f t="shared" si="33"/>
        <v>0.11909175162187211</v>
      </c>
      <c r="AA18" s="3">
        <f t="shared" si="33"/>
        <v>9.9429408589713927E-2</v>
      </c>
      <c r="AB18" s="3">
        <f t="shared" si="33"/>
        <v>0.1448507808875831</v>
      </c>
      <c r="AC18" s="3">
        <f t="shared" si="33"/>
        <v>9.465407621985629E-2</v>
      </c>
      <c r="AD18" s="3">
        <f t="shared" si="33"/>
        <v>0.11678272980501393</v>
      </c>
      <c r="AE18" s="3">
        <f t="shared" si="33"/>
        <v>8.3820167640335286E-2</v>
      </c>
      <c r="AF18" s="3">
        <f t="shared" si="33"/>
        <v>0.10870168813860506</v>
      </c>
      <c r="AG18" s="3">
        <f t="shared" si="33"/>
        <v>0.11487456223629887</v>
      </c>
      <c r="AH18" s="3">
        <f t="shared" si="33"/>
        <v>0.11840319184839233</v>
      </c>
      <c r="AI18" s="3">
        <f t="shared" si="33"/>
        <v>0.1219643443539763</v>
      </c>
      <c r="AJ18" s="3">
        <f t="shared" si="33"/>
        <v>0.1255581761729441</v>
      </c>
      <c r="AK18" s="3">
        <f t="shared" si="33"/>
        <v>0.12897805764313888</v>
      </c>
      <c r="AL18" s="3">
        <f t="shared" si="33"/>
        <v>0.13364537203005109</v>
      </c>
      <c r="AM18" s="3">
        <f t="shared" si="33"/>
        <v>0.1383881340777996</v>
      </c>
      <c r="AN18" s="3">
        <f t="shared" si="33"/>
        <v>0.14320733713944492</v>
      </c>
      <c r="AO18" s="3">
        <f t="shared" si="33"/>
        <v>0.14810398811661366</v>
      </c>
      <c r="AP18" s="3">
        <f t="shared" si="33"/>
        <v>0.15307910764309202</v>
      </c>
      <c r="AQ18" s="3">
        <f t="shared" si="33"/>
        <v>0.15813373027090999</v>
      </c>
      <c r="AR18" s="3">
        <f t="shared" si="33"/>
        <v>0.16326890465895014</v>
      </c>
      <c r="AS18" s="3">
        <f>+AS11/AS3</f>
        <v>0.1684856937641154</v>
      </c>
      <c r="AT18" s="3">
        <f>+AT11/AT3</f>
        <v>0.17378517503509017</v>
      </c>
      <c r="AU18" s="3">
        <f>+AU11/AU3</f>
        <v>0.17916844060872986</v>
      </c>
      <c r="AV18" s="3">
        <f>+AV11/AV3</f>
        <v>0.18463659750911607</v>
      </c>
      <c r="AW18" s="3">
        <f>+AW11/AW3</f>
        <v>0.19019076784931008</v>
      </c>
      <c r="AY18" s="3" t="s">
        <v>84</v>
      </c>
      <c r="AZ18" s="1">
        <f>+NPV(AZ17,AG11:ET11)</f>
        <v>56434.744762415248</v>
      </c>
    </row>
    <row r="19" spans="1:52" s="3" customFormat="1" x14ac:dyDescent="0.2">
      <c r="A19" s="3" t="s">
        <v>14</v>
      </c>
      <c r="I19" s="3">
        <f t="shared" ref="I19:P19" si="34">+I10/I9</f>
        <v>0.31468531468531469</v>
      </c>
      <c r="J19" s="3">
        <f t="shared" si="34"/>
        <v>0.43983957219251335</v>
      </c>
      <c r="K19" s="3">
        <f t="shared" si="34"/>
        <v>-0.1930835734870317</v>
      </c>
      <c r="L19" s="3">
        <f t="shared" si="34"/>
        <v>0.25124201561391057</v>
      </c>
      <c r="M19" s="3">
        <f t="shared" si="34"/>
        <v>0.22174288179465057</v>
      </c>
      <c r="N19" s="3">
        <f t="shared" si="34"/>
        <v>0.23040466642362378</v>
      </c>
      <c r="O19" s="3">
        <f t="shared" si="34"/>
        <v>0.33752860411899316</v>
      </c>
      <c r="P19" s="3">
        <f t="shared" si="34"/>
        <v>0.24640967498110355</v>
      </c>
      <c r="T19" s="3">
        <f t="shared" ref="T19:AR19" si="35">+T10/T9</f>
        <v>5.5238095238095239E-2</v>
      </c>
      <c r="U19" s="3">
        <f t="shared" si="35"/>
        <v>8.247422680412371E-2</v>
      </c>
      <c r="V19" s="3">
        <f t="shared" si="35"/>
        <v>2.1037868162692847E-2</v>
      </c>
      <c r="W19" s="3">
        <f t="shared" si="35"/>
        <v>0.10225955967555041</v>
      </c>
      <c r="X19" s="3">
        <f t="shared" si="35"/>
        <v>0.202943189596167</v>
      </c>
      <c r="Y19" s="3">
        <f t="shared" si="35"/>
        <v>5.2163364334816012E-2</v>
      </c>
      <c r="Z19" s="3">
        <f t="shared" si="35"/>
        <v>0.18239660657476139</v>
      </c>
      <c r="AA19" s="3">
        <f t="shared" si="35"/>
        <v>0.23175454274649984</v>
      </c>
      <c r="AB19" s="3">
        <f t="shared" si="35"/>
        <v>-5.3404539385847798E-4</v>
      </c>
      <c r="AC19" s="3">
        <f t="shared" si="35"/>
        <v>0.32727272727272727</v>
      </c>
      <c r="AD19" s="3">
        <f t="shared" si="35"/>
        <v>0.26188380281690143</v>
      </c>
      <c r="AE19" s="3">
        <f t="shared" si="35"/>
        <v>0.24679029957203993</v>
      </c>
      <c r="AF19" s="3">
        <f t="shared" si="35"/>
        <v>0.28191489361702127</v>
      </c>
      <c r="AG19" s="3">
        <f t="shared" si="35"/>
        <v>0.21</v>
      </c>
      <c r="AH19" s="3">
        <f t="shared" si="35"/>
        <v>0.21</v>
      </c>
      <c r="AI19" s="3">
        <f t="shared" si="35"/>
        <v>0.21</v>
      </c>
      <c r="AJ19" s="3">
        <f t="shared" si="35"/>
        <v>0.21</v>
      </c>
      <c r="AK19" s="3">
        <f t="shared" si="35"/>
        <v>0.21</v>
      </c>
      <c r="AL19" s="3">
        <f t="shared" si="35"/>
        <v>0.21</v>
      </c>
      <c r="AM19" s="3">
        <f t="shared" si="35"/>
        <v>0.20999999999999996</v>
      </c>
      <c r="AN19" s="3">
        <f t="shared" si="35"/>
        <v>0.21</v>
      </c>
      <c r="AO19" s="3">
        <f t="shared" si="35"/>
        <v>0.21</v>
      </c>
      <c r="AP19" s="3">
        <f t="shared" si="35"/>
        <v>0.21</v>
      </c>
      <c r="AQ19" s="3">
        <f t="shared" si="35"/>
        <v>0.21</v>
      </c>
      <c r="AR19" s="3">
        <f t="shared" si="35"/>
        <v>0.21</v>
      </c>
      <c r="AS19" s="3">
        <f>+AS10/AS9</f>
        <v>0.21</v>
      </c>
      <c r="AT19" s="3">
        <f>+AT10/AT9</f>
        <v>0.21</v>
      </c>
      <c r="AU19" s="3">
        <f>+AU10/AU9</f>
        <v>0.21</v>
      </c>
      <c r="AV19" s="3">
        <f>+AV10/AV9</f>
        <v>0.21</v>
      </c>
      <c r="AW19" s="3">
        <f>+AW10/AW9</f>
        <v>0.21</v>
      </c>
      <c r="AY19" s="3" t="s">
        <v>47</v>
      </c>
      <c r="AZ19" s="1">
        <f>+AF24</f>
        <v>-18287</v>
      </c>
    </row>
    <row r="20" spans="1:52" s="3" customFormat="1" x14ac:dyDescent="0.2">
      <c r="AY20" s="3" t="s">
        <v>85</v>
      </c>
      <c r="AZ20" s="1">
        <f>+AZ18+AZ19</f>
        <v>38147.744762415248</v>
      </c>
    </row>
    <row r="21" spans="1:52" s="5" customFormat="1" x14ac:dyDescent="0.2">
      <c r="A21" s="5" t="s">
        <v>15</v>
      </c>
      <c r="I21" s="5" t="e">
        <f t="shared" ref="I21:Q21" si="36">+I3/E3-1</f>
        <v>#DIV/0!</v>
      </c>
      <c r="J21" s="5" t="e">
        <f t="shared" si="36"/>
        <v>#DIV/0!</v>
      </c>
      <c r="K21" s="5" t="e">
        <f t="shared" si="36"/>
        <v>#DIV/0!</v>
      </c>
      <c r="L21" s="5" t="e">
        <f t="shared" si="36"/>
        <v>#DIV/0!</v>
      </c>
      <c r="M21" s="5">
        <f t="shared" si="36"/>
        <v>7.1190339275445602E-2</v>
      </c>
      <c r="N21" s="5">
        <f t="shared" si="36"/>
        <v>1.352825660047996E-2</v>
      </c>
      <c r="O21" s="5">
        <f t="shared" si="36"/>
        <v>-1.9278241448219102E-2</v>
      </c>
      <c r="P21" s="5">
        <f t="shared" si="36"/>
        <v>1.9381991361169471E-2</v>
      </c>
      <c r="Q21" s="5">
        <f t="shared" si="36"/>
        <v>-7.2497315868584655E-2</v>
      </c>
      <c r="U21" s="5">
        <f t="shared" ref="U21:AR21" si="37">+U3/T3-1</f>
        <v>-2.2200502652890308E-2</v>
      </c>
      <c r="V21" s="5">
        <f t="shared" si="37"/>
        <v>8.1108096530058127E-3</v>
      </c>
      <c r="W21" s="5">
        <f t="shared" si="37"/>
        <v>-2.9887532224708968E-2</v>
      </c>
      <c r="X21" s="5">
        <f t="shared" si="37"/>
        <v>-0.1345637191916832</v>
      </c>
      <c r="Y21" s="5">
        <f>+Y3/X3-1</f>
        <v>-0.12528681333513292</v>
      </c>
      <c r="Z21" s="5">
        <f t="shared" si="37"/>
        <v>-1.0415461173475249E-3</v>
      </c>
      <c r="AA21" s="5">
        <f t="shared" si="37"/>
        <v>1.6218721037997152E-3</v>
      </c>
      <c r="AB21" s="5">
        <f t="shared" si="37"/>
        <v>-2.698743156758443E-3</v>
      </c>
      <c r="AC21" s="5">
        <f t="shared" si="37"/>
        <v>2.7563012215865212E-2</v>
      </c>
      <c r="AD21" s="5">
        <f t="shared" si="37"/>
        <v>8.0471013129679081E-2</v>
      </c>
      <c r="AE21" s="5">
        <f t="shared" si="37"/>
        <v>9.6657381615598892E-2</v>
      </c>
      <c r="AF21" s="5">
        <f t="shared" si="37"/>
        <v>0.143510287020574</v>
      </c>
      <c r="AG21" s="5">
        <f t="shared" si="37"/>
        <v>-1.4999999999999902E-2</v>
      </c>
      <c r="AH21" s="5">
        <f t="shared" si="37"/>
        <v>1.0000000000000009E-2</v>
      </c>
      <c r="AI21" s="5">
        <f t="shared" si="37"/>
        <v>1.0000000000000009E-2</v>
      </c>
      <c r="AJ21" s="5">
        <f t="shared" si="37"/>
        <v>1.0000000000000009E-2</v>
      </c>
      <c r="AK21" s="5">
        <f t="shared" si="37"/>
        <v>1.0000000000000009E-2</v>
      </c>
      <c r="AL21" s="5">
        <f t="shared" si="37"/>
        <v>1.0000000000000009E-2</v>
      </c>
      <c r="AM21" s="5">
        <f t="shared" si="37"/>
        <v>1.0000000000000009E-2</v>
      </c>
      <c r="AN21" s="5">
        <f t="shared" si="37"/>
        <v>1.0000000000000009E-2</v>
      </c>
      <c r="AO21" s="5">
        <f t="shared" si="37"/>
        <v>1.0000000000000009E-2</v>
      </c>
      <c r="AP21" s="5">
        <f t="shared" si="37"/>
        <v>1.0000000000000009E-2</v>
      </c>
      <c r="AQ21" s="5">
        <f t="shared" si="37"/>
        <v>1.0000000000000009E-2</v>
      </c>
      <c r="AR21" s="5">
        <f t="shared" si="37"/>
        <v>1.0000000000000009E-2</v>
      </c>
      <c r="AS21" s="5">
        <f>+AS3/Model!AR3-1</f>
        <v>1.0000000000000009E-2</v>
      </c>
      <c r="AT21" s="5">
        <f>+AT3/AS3-1</f>
        <v>1.0000000000000009E-2</v>
      </c>
      <c r="AU21" s="5">
        <f>+AU3/AT3-1</f>
        <v>1.0000000000000009E-2</v>
      </c>
      <c r="AV21" s="5">
        <f>+AV3/AU3-1</f>
        <v>1.0000000000000009E-2</v>
      </c>
      <c r="AW21" s="5">
        <f>+AW3/AV3-1</f>
        <v>1.0000000000000009E-2</v>
      </c>
      <c r="AY21" s="1" t="s">
        <v>32</v>
      </c>
      <c r="AZ21" s="4">
        <f>+AZ20/Main!L4</f>
        <v>28.528199734857107</v>
      </c>
    </row>
    <row r="22" spans="1:52" x14ac:dyDescent="0.2">
      <c r="AS22" s="3"/>
      <c r="AT22" s="3"/>
      <c r="AU22" s="3"/>
      <c r="AV22" s="3"/>
      <c r="AW22" s="3"/>
      <c r="AY22" s="3" t="s">
        <v>86</v>
      </c>
      <c r="AZ22" s="4">
        <v>56.87</v>
      </c>
    </row>
    <row r="23" spans="1:52" s="3" customFormat="1" x14ac:dyDescent="0.2">
      <c r="A23" s="3" t="s">
        <v>70</v>
      </c>
      <c r="P23" s="3">
        <f>+SUM(M8:P8)/P24</f>
        <v>1.0827363700989774E-2</v>
      </c>
      <c r="AY23" s="1" t="s">
        <v>87</v>
      </c>
      <c r="AZ23" s="3">
        <f>+AZ21/AZ22-1</f>
        <v>-0.49836117927101975</v>
      </c>
    </row>
    <row r="24" spans="1:52" x14ac:dyDescent="0.2">
      <c r="A24" s="1" t="s">
        <v>47</v>
      </c>
      <c r="N24" s="1">
        <f>+N25-N37</f>
        <v>-17688</v>
      </c>
      <c r="O24" s="1">
        <f>+O25-O37</f>
        <v>-18354</v>
      </c>
      <c r="P24" s="1">
        <f>+P25-P37</f>
        <v>-18287</v>
      </c>
      <c r="AF24" s="1">
        <f>+P24</f>
        <v>-18287</v>
      </c>
      <c r="AG24" s="1">
        <f t="shared" ref="AG24:AW24" si="38">+AG11+AF24</f>
        <v>-14211.737599999997</v>
      </c>
      <c r="AH24" s="1">
        <f t="shared" si="38"/>
        <v>-9969.2899505799978</v>
      </c>
      <c r="AI24" s="1">
        <f t="shared" si="38"/>
        <v>-5555.5439077629135</v>
      </c>
      <c r="AJ24" s="1">
        <f t="shared" si="38"/>
        <v>-966.30329630644883</v>
      </c>
      <c r="AK24" s="1">
        <f t="shared" si="38"/>
        <v>3795.0788115416253</v>
      </c>
      <c r="AL24" s="1">
        <f t="shared" si="38"/>
        <v>8778.097332340225</v>
      </c>
      <c r="AM24" s="1">
        <f t="shared" si="38"/>
        <v>13989.550081811489</v>
      </c>
      <c r="AN24" s="1">
        <f t="shared" si="38"/>
        <v>19436.414862608755</v>
      </c>
      <c r="AO24" s="1">
        <f t="shared" si="38"/>
        <v>25125.853944506609</v>
      </c>
      <c r="AP24" s="1">
        <f t="shared" si="38"/>
        <v>31065.218653109267</v>
      </c>
      <c r="AQ24" s="1">
        <f t="shared" si="38"/>
        <v>37262.054069674028</v>
      </c>
      <c r="AR24" s="1">
        <f t="shared" si="38"/>
        <v>43724.103844708283</v>
      </c>
      <c r="AS24" s="1">
        <f t="shared" si="38"/>
        <v>50459.315128061862</v>
      </c>
      <c r="AT24" s="1">
        <f t="shared" si="38"/>
        <v>57475.843618301311</v>
      </c>
      <c r="AU24" s="1">
        <f t="shared" si="38"/>
        <v>64782.058734218888</v>
      </c>
      <c r="AV24" s="1">
        <f t="shared" si="38"/>
        <v>72386.548911397083</v>
      </c>
      <c r="AW24" s="1">
        <f t="shared" si="38"/>
        <v>80298.127026818838</v>
      </c>
    </row>
    <row r="25" spans="1:52" x14ac:dyDescent="0.2">
      <c r="A25" s="1" t="s">
        <v>34</v>
      </c>
      <c r="N25" s="1">
        <v>1376</v>
      </c>
      <c r="O25" s="1">
        <v>1399</v>
      </c>
      <c r="P25" s="1">
        <v>1517</v>
      </c>
    </row>
    <row r="26" spans="1:52" x14ac:dyDescent="0.2">
      <c r="A26" s="1" t="s">
        <v>48</v>
      </c>
      <c r="N26" s="1">
        <f>3998+816</f>
        <v>4814</v>
      </c>
      <c r="O26" s="1">
        <f>3165+846</f>
        <v>4011</v>
      </c>
      <c r="P26" s="1">
        <f>3800+891</f>
        <v>4691</v>
      </c>
    </row>
    <row r="27" spans="1:52" x14ac:dyDescent="0.2">
      <c r="A27" s="1" t="s">
        <v>80</v>
      </c>
      <c r="N27" s="1">
        <v>3562</v>
      </c>
      <c r="O27" s="1">
        <v>4009</v>
      </c>
      <c r="P27" s="1">
        <v>4270</v>
      </c>
    </row>
    <row r="28" spans="1:52" x14ac:dyDescent="0.2">
      <c r="A28" s="1" t="s">
        <v>49</v>
      </c>
      <c r="N28" s="1">
        <v>9674</v>
      </c>
      <c r="O28" s="1">
        <v>5751</v>
      </c>
      <c r="P28" s="1">
        <v>2723</v>
      </c>
    </row>
    <row r="29" spans="1:52" x14ac:dyDescent="0.2">
      <c r="A29" s="1" t="s">
        <v>50</v>
      </c>
      <c r="N29" s="1">
        <v>9574</v>
      </c>
      <c r="O29" s="1">
        <v>9488</v>
      </c>
      <c r="P29" s="1">
        <v>9696</v>
      </c>
    </row>
    <row r="30" spans="1:52" x14ac:dyDescent="0.2">
      <c r="A30" s="1" t="s">
        <v>51</v>
      </c>
      <c r="N30" s="1">
        <v>640</v>
      </c>
      <c r="O30" s="1">
        <v>627</v>
      </c>
      <c r="P30" s="1">
        <v>774</v>
      </c>
    </row>
    <row r="31" spans="1:52" x14ac:dyDescent="0.2">
      <c r="A31" s="1" t="s">
        <v>52</v>
      </c>
      <c r="N31" s="1">
        <f>23539+19614</f>
        <v>43153</v>
      </c>
      <c r="O31" s="1">
        <f>23386+19397</f>
        <v>42783</v>
      </c>
      <c r="P31" s="1">
        <f>23773+19459</f>
        <v>43232</v>
      </c>
    </row>
    <row r="32" spans="1:52" x14ac:dyDescent="0.2">
      <c r="A32" s="1" t="s">
        <v>53</v>
      </c>
      <c r="N32" s="1">
        <v>1068</v>
      </c>
      <c r="O32" s="1">
        <v>1060</v>
      </c>
      <c r="P32" s="1">
        <v>1146</v>
      </c>
    </row>
    <row r="33" spans="1:47" x14ac:dyDescent="0.2">
      <c r="A33" s="1" t="s">
        <v>54</v>
      </c>
      <c r="N33" s="1">
        <v>240</v>
      </c>
      <c r="O33" s="1">
        <v>279</v>
      </c>
      <c r="P33" s="1">
        <v>372</v>
      </c>
    </row>
    <row r="34" spans="1:47" x14ac:dyDescent="0.2">
      <c r="A34" s="1" t="s">
        <v>55</v>
      </c>
      <c r="N34" s="1">
        <v>2440</v>
      </c>
      <c r="O34" s="1">
        <v>2451</v>
      </c>
      <c r="P34" s="1">
        <v>2576</v>
      </c>
    </row>
    <row r="35" spans="1:47" x14ac:dyDescent="0.2">
      <c r="A35" s="1" t="s">
        <v>56</v>
      </c>
      <c r="N35" s="1">
        <v>1083</v>
      </c>
      <c r="O35" s="1">
        <v>1238</v>
      </c>
      <c r="P35" s="1">
        <v>1194</v>
      </c>
      <c r="AT35" s="6"/>
      <c r="AU35" s="6"/>
    </row>
    <row r="36" spans="1:47" s="6" customFormat="1" x14ac:dyDescent="0.2">
      <c r="A36" s="6" t="s">
        <v>57</v>
      </c>
      <c r="N36" s="6">
        <f>+SUM(N25:N35)</f>
        <v>77624</v>
      </c>
      <c r="O36" s="6">
        <f>+SUM(O25:O35)</f>
        <v>73096</v>
      </c>
      <c r="P36" s="6">
        <f>+SUM(P25:P35)</f>
        <v>72191</v>
      </c>
      <c r="AT36" s="1"/>
      <c r="AU36" s="1"/>
    </row>
    <row r="37" spans="1:47" x14ac:dyDescent="0.2">
      <c r="A37" s="1" t="s">
        <v>35</v>
      </c>
      <c r="N37" s="1">
        <f>259+2024+16781</f>
        <v>19064</v>
      </c>
      <c r="O37" s="1">
        <f>838+2774+16141</f>
        <v>19753</v>
      </c>
      <c r="P37" s="1">
        <f>1484+1821+16499</f>
        <v>19804</v>
      </c>
    </row>
    <row r="38" spans="1:47" x14ac:dyDescent="0.2">
      <c r="A38" s="1" t="s">
        <v>58</v>
      </c>
      <c r="N38" s="1">
        <v>8618</v>
      </c>
      <c r="O38" s="1">
        <v>8370</v>
      </c>
      <c r="P38" s="1">
        <v>9110</v>
      </c>
    </row>
    <row r="39" spans="1:47" x14ac:dyDescent="0.2">
      <c r="A39" s="1" t="s">
        <v>59</v>
      </c>
      <c r="N39" s="1">
        <v>2791</v>
      </c>
      <c r="O39" s="1">
        <v>2463</v>
      </c>
      <c r="P39" s="1">
        <v>2721</v>
      </c>
    </row>
    <row r="40" spans="1:47" x14ac:dyDescent="0.2">
      <c r="A40" s="1" t="s">
        <v>61</v>
      </c>
      <c r="N40" s="1">
        <v>928</v>
      </c>
      <c r="O40" s="1">
        <v>838</v>
      </c>
      <c r="P40" s="1">
        <v>905</v>
      </c>
    </row>
    <row r="41" spans="1:47" x14ac:dyDescent="0.2">
      <c r="A41" s="1" t="s">
        <v>60</v>
      </c>
      <c r="N41" s="1">
        <v>10668</v>
      </c>
      <c r="O41" s="1">
        <v>7147</v>
      </c>
      <c r="P41" s="1">
        <v>5032</v>
      </c>
    </row>
    <row r="42" spans="1:47" x14ac:dyDescent="0.2">
      <c r="A42" s="1" t="s">
        <v>51</v>
      </c>
      <c r="N42" s="1">
        <v>504</v>
      </c>
      <c r="O42" s="1">
        <v>492</v>
      </c>
      <c r="P42" s="1">
        <v>621</v>
      </c>
    </row>
    <row r="43" spans="1:47" x14ac:dyDescent="0.2">
      <c r="A43" s="1" t="s">
        <v>54</v>
      </c>
      <c r="N43" s="1">
        <v>3408</v>
      </c>
      <c r="O43" s="1">
        <v>3349</v>
      </c>
      <c r="P43" s="1">
        <v>3423</v>
      </c>
    </row>
    <row r="44" spans="1:47" x14ac:dyDescent="0.2">
      <c r="A44" s="1" t="s">
        <v>62</v>
      </c>
      <c r="N44" s="1">
        <v>395</v>
      </c>
      <c r="O44" s="1">
        <v>373</v>
      </c>
      <c r="P44" s="1">
        <v>368</v>
      </c>
    </row>
    <row r="45" spans="1:47" x14ac:dyDescent="0.2">
      <c r="A45" s="1" t="s">
        <v>63</v>
      </c>
      <c r="N45" s="1">
        <v>125</v>
      </c>
      <c r="O45" s="1">
        <v>122</v>
      </c>
      <c r="P45" s="1">
        <v>125</v>
      </c>
    </row>
    <row r="46" spans="1:47" x14ac:dyDescent="0.2">
      <c r="A46" s="1" t="s">
        <v>64</v>
      </c>
      <c r="N46" s="1">
        <v>2609</v>
      </c>
      <c r="O46" s="1">
        <v>2471</v>
      </c>
      <c r="P46" s="1">
        <v>2191</v>
      </c>
      <c r="AT46" s="6"/>
      <c r="AU46" s="6"/>
    </row>
    <row r="47" spans="1:47" s="6" customFormat="1" x14ac:dyDescent="0.2">
      <c r="A47" s="6" t="s">
        <v>65</v>
      </c>
      <c r="N47" s="6">
        <f>+SUM(N37:N46)</f>
        <v>49110</v>
      </c>
      <c r="O47" s="6">
        <f>+SUM(O37:O46)</f>
        <v>45378</v>
      </c>
      <c r="P47" s="6">
        <f>+SUM(P37:P46)</f>
        <v>44300</v>
      </c>
      <c r="AT47" s="1"/>
      <c r="AU47" s="1"/>
    </row>
    <row r="48" spans="1:47" x14ac:dyDescent="0.2">
      <c r="A48" s="1" t="s">
        <v>66</v>
      </c>
      <c r="N48" s="1">
        <v>28514</v>
      </c>
      <c r="O48" s="1">
        <v>27718</v>
      </c>
      <c r="P48" s="1">
        <v>27891</v>
      </c>
    </row>
    <row r="49" spans="1:47" x14ac:dyDescent="0.2">
      <c r="A49" s="1" t="s">
        <v>67</v>
      </c>
      <c r="N49" s="1">
        <f>+N48+N47</f>
        <v>77624</v>
      </c>
      <c r="O49" s="1">
        <f>+O48+O47</f>
        <v>73096</v>
      </c>
      <c r="P49" s="1">
        <f>+P48+P47</f>
        <v>72191</v>
      </c>
    </row>
    <row r="51" spans="1:47" x14ac:dyDescent="0.2">
      <c r="A51" s="1" t="s">
        <v>68</v>
      </c>
      <c r="L51" s="1">
        <f>+SUM(I11:L11)</f>
        <v>4137</v>
      </c>
      <c r="M51" s="1">
        <f t="shared" ref="M51:O51" si="39">+SUM(J11:M11)</f>
        <v>4451</v>
      </c>
      <c r="N51" s="1">
        <f t="shared" si="39"/>
        <v>5724</v>
      </c>
      <c r="O51" s="1">
        <f t="shared" si="39"/>
        <v>4647</v>
      </c>
      <c r="P51" s="1">
        <f>+SUM(M11:P11)</f>
        <v>4589</v>
      </c>
      <c r="AT51" s="3"/>
      <c r="AU51" s="3"/>
    </row>
    <row r="52" spans="1:47" s="3" customFormat="1" x14ac:dyDescent="0.2">
      <c r="A52" s="3" t="s">
        <v>69</v>
      </c>
      <c r="N52" s="3">
        <f t="shared" ref="N52:O52" si="40">+N51/(+N26+N27+N28+N29+N30+N32+N33+N34+N35)</f>
        <v>0.17295663997582716</v>
      </c>
      <c r="O52" s="3">
        <f t="shared" si="40"/>
        <v>0.16071799128449885</v>
      </c>
      <c r="P52" s="3">
        <f>+P51/(+P26+P27+P28+P29+P30+P32+P33+P34+P35)</f>
        <v>0.16722542088769041</v>
      </c>
      <c r="AT52" s="1"/>
      <c r="AU52" s="1"/>
    </row>
    <row r="54" spans="1:47" x14ac:dyDescent="0.2">
      <c r="A54" s="1" t="s">
        <v>71</v>
      </c>
      <c r="N54" s="1">
        <f>+N11</f>
        <v>2111</v>
      </c>
      <c r="O54" s="1">
        <f t="shared" ref="O54:P54" si="41">+O11</f>
        <v>579</v>
      </c>
      <c r="P54" s="1">
        <f t="shared" si="41"/>
        <v>997</v>
      </c>
    </row>
    <row r="55" spans="1:47" x14ac:dyDescent="0.2">
      <c r="A55" s="1" t="s">
        <v>72</v>
      </c>
      <c r="N55" s="1">
        <v>1416</v>
      </c>
      <c r="O55" s="1">
        <f>2019-N55</f>
        <v>603</v>
      </c>
      <c r="P55" s="1">
        <f>2875-SUM(N55:O55)</f>
        <v>856</v>
      </c>
    </row>
    <row r="56" spans="1:47" x14ac:dyDescent="0.2">
      <c r="A56" s="1" t="s">
        <v>73</v>
      </c>
      <c r="N56" s="1">
        <v>319</v>
      </c>
      <c r="O56" s="1">
        <f>636-N56</f>
        <v>317</v>
      </c>
      <c r="P56" s="1">
        <f>971-SUM(N56:O56)</f>
        <v>335</v>
      </c>
    </row>
    <row r="57" spans="1:47" x14ac:dyDescent="0.2">
      <c r="AT57" s="6"/>
      <c r="AU57" s="6"/>
    </row>
    <row r="58" spans="1:47" s="6" customFormat="1" x14ac:dyDescent="0.2">
      <c r="A58" s="6" t="s">
        <v>74</v>
      </c>
      <c r="N58" s="6">
        <v>1324</v>
      </c>
      <c r="O58" s="6">
        <f>2146-N58</f>
        <v>822</v>
      </c>
      <c r="P58" s="6">
        <f>3451-SUM(N58:O58)</f>
        <v>1305</v>
      </c>
      <c r="AT58" s="1"/>
      <c r="AU58" s="1"/>
    </row>
    <row r="60" spans="1:47" x14ac:dyDescent="0.2">
      <c r="A60" s="1" t="s">
        <v>75</v>
      </c>
      <c r="N60" s="1">
        <v>-299</v>
      </c>
      <c r="O60" s="1">
        <f>-666-N60</f>
        <v>-367</v>
      </c>
      <c r="P60" s="1">
        <f>-982-SUM(N60:O60)</f>
        <v>-316</v>
      </c>
    </row>
    <row r="62" spans="1:47" x14ac:dyDescent="0.2">
      <c r="A62" s="1" t="s">
        <v>78</v>
      </c>
      <c r="N62" s="1">
        <v>-568</v>
      </c>
      <c r="O62" s="1">
        <f>-1074-N62</f>
        <v>-506</v>
      </c>
      <c r="P62" s="1">
        <f>-1187-SUM(N62:O62)</f>
        <v>-113</v>
      </c>
    </row>
    <row r="63" spans="1:47" x14ac:dyDescent="0.2">
      <c r="A63" s="1" t="s">
        <v>79</v>
      </c>
      <c r="N63" s="1">
        <v>-578</v>
      </c>
      <c r="O63" s="1">
        <f>-1151-N63</f>
        <v>-573</v>
      </c>
      <c r="P63" s="1">
        <f>-1722-SUM(N63:O63)</f>
        <v>-571</v>
      </c>
    </row>
    <row r="65" spans="1:33" x14ac:dyDescent="0.2">
      <c r="A65" s="1" t="s">
        <v>76</v>
      </c>
      <c r="N65" s="1">
        <f>+N58+N60</f>
        <v>1025</v>
      </c>
      <c r="O65" s="1">
        <f>+O58+O60</f>
        <v>455</v>
      </c>
      <c r="P65" s="1">
        <f>+P58+P60</f>
        <v>989</v>
      </c>
      <c r="Q65" s="1">
        <f>+AG65-SUM(N65:P65)</f>
        <v>1031</v>
      </c>
      <c r="AG65" s="1">
        <v>3500</v>
      </c>
    </row>
    <row r="66" spans="1:33" x14ac:dyDescent="0.2">
      <c r="A66" s="1" t="s">
        <v>77</v>
      </c>
      <c r="Q66" s="1">
        <f>+SUM(N65:Q65)</f>
        <v>3500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2025-01-23T18:29:01Z</dcterms:created>
  <dcterms:modified xsi:type="dcterms:W3CDTF">2025-01-24T18:45:54Z</dcterms:modified>
</cp:coreProperties>
</file>