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15366909-0B09-45C6-8D42-299F75EF74C8}" xr6:coauthVersionLast="47" xr6:coauthVersionMax="47" xr10:uidLastSave="{00000000-0000-0000-0000-000000000000}"/>
  <bookViews>
    <workbookView xWindow="300" yWindow="165" windowWidth="14025" windowHeight="15405" activeTab="1" xr2:uid="{9AAAD943-5A4B-431F-90ED-A4FAAA66264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2" l="1"/>
  <c r="L47" i="2"/>
  <c r="K47" i="2"/>
  <c r="N47" i="2"/>
  <c r="M46" i="2"/>
  <c r="L46" i="2"/>
  <c r="K46" i="2"/>
  <c r="J46" i="2"/>
  <c r="I46" i="2"/>
  <c r="H46" i="2"/>
  <c r="G46" i="2"/>
  <c r="N46" i="2"/>
  <c r="M38" i="2"/>
  <c r="M37" i="2"/>
  <c r="M35" i="2"/>
  <c r="M31" i="2"/>
  <c r="M26" i="2"/>
  <c r="M42" i="2"/>
  <c r="M44" i="2" s="1"/>
  <c r="M34" i="2"/>
  <c r="M25" i="2"/>
  <c r="L38" i="2"/>
  <c r="L37" i="2"/>
  <c r="L35" i="2"/>
  <c r="L31" i="2"/>
  <c r="L26" i="2"/>
  <c r="L42" i="2"/>
  <c r="L44" i="2" s="1"/>
  <c r="L34" i="2"/>
  <c r="L25" i="2"/>
  <c r="K38" i="2"/>
  <c r="K37" i="2"/>
  <c r="K35" i="2"/>
  <c r="K31" i="2"/>
  <c r="K26" i="2"/>
  <c r="N25" i="2"/>
  <c r="T8" i="2"/>
  <c r="T5" i="2"/>
  <c r="T18" i="2" s="1"/>
  <c r="U23" i="2"/>
  <c r="U8" i="2"/>
  <c r="U5" i="2"/>
  <c r="U18" i="2" s="1"/>
  <c r="V23" i="2"/>
  <c r="V8" i="2"/>
  <c r="V5" i="2"/>
  <c r="V18" i="2" s="1"/>
  <c r="W23" i="2"/>
  <c r="W8" i="2"/>
  <c r="W5" i="2"/>
  <c r="W18" i="2" s="1"/>
  <c r="X23" i="2"/>
  <c r="X8" i="2"/>
  <c r="X5" i="2"/>
  <c r="X18" i="2" s="1"/>
  <c r="Y23" i="2"/>
  <c r="Y8" i="2"/>
  <c r="Y5" i="2"/>
  <c r="Y18" i="2" s="1"/>
  <c r="Z23" i="2"/>
  <c r="Z8" i="2"/>
  <c r="Z5" i="2"/>
  <c r="Z18" i="2" s="1"/>
  <c r="AA23" i="2"/>
  <c r="AA8" i="2"/>
  <c r="AA5" i="2"/>
  <c r="AA18" i="2" s="1"/>
  <c r="AB23" i="2"/>
  <c r="F21" i="2"/>
  <c r="F20" i="2"/>
  <c r="F19" i="2"/>
  <c r="F18" i="2"/>
  <c r="F15" i="2"/>
  <c r="F16" i="2"/>
  <c r="F14" i="2"/>
  <c r="F13" i="2"/>
  <c r="F12" i="2"/>
  <c r="F11" i="2"/>
  <c r="F10" i="2"/>
  <c r="F8" i="2"/>
  <c r="F9" i="2" s="1"/>
  <c r="F7" i="2"/>
  <c r="F6" i="2"/>
  <c r="F5" i="2"/>
  <c r="F4" i="2"/>
  <c r="F3" i="2"/>
  <c r="J23" i="2" s="1"/>
  <c r="AC23" i="2"/>
  <c r="AD23" i="2"/>
  <c r="AB8" i="2"/>
  <c r="AB5" i="2"/>
  <c r="AB18" i="2" s="1"/>
  <c r="AC8" i="2"/>
  <c r="AC5" i="2"/>
  <c r="AC18" i="2" s="1"/>
  <c r="AD8" i="2"/>
  <c r="AD5" i="2"/>
  <c r="AD18" i="2" s="1"/>
  <c r="C8" i="2"/>
  <c r="C5" i="2"/>
  <c r="C18" i="2" s="1"/>
  <c r="D8" i="2"/>
  <c r="D5" i="2"/>
  <c r="D18" i="2" s="1"/>
  <c r="E8" i="2"/>
  <c r="E5" i="2"/>
  <c r="E18" i="2" s="1"/>
  <c r="G23" i="2"/>
  <c r="G8" i="2"/>
  <c r="G5" i="2"/>
  <c r="G18" i="2" s="1"/>
  <c r="K23" i="2"/>
  <c r="K8" i="2"/>
  <c r="K5" i="2"/>
  <c r="H23" i="2"/>
  <c r="H8" i="2"/>
  <c r="H5" i="2"/>
  <c r="H18" i="2" s="1"/>
  <c r="L23" i="2"/>
  <c r="L8" i="2"/>
  <c r="L5" i="2"/>
  <c r="L9" i="2" s="1"/>
  <c r="I12" i="2"/>
  <c r="I23" i="2"/>
  <c r="I8" i="2"/>
  <c r="I5" i="2"/>
  <c r="I18" i="2" s="1"/>
  <c r="M23" i="2"/>
  <c r="M8" i="2"/>
  <c r="M5" i="2"/>
  <c r="M18" i="2" s="1"/>
  <c r="N44" i="2"/>
  <c r="N42" i="2"/>
  <c r="N38" i="2"/>
  <c r="N37" i="2"/>
  <c r="N35" i="2"/>
  <c r="N34" i="2"/>
  <c r="N31" i="2"/>
  <c r="N26" i="2"/>
  <c r="N23" i="2"/>
  <c r="J8" i="2"/>
  <c r="J5" i="2"/>
  <c r="J18" i="2" s="1"/>
  <c r="N8" i="2"/>
  <c r="N5" i="2"/>
  <c r="N18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J8" i="1"/>
  <c r="J7" i="1"/>
  <c r="J6" i="1"/>
  <c r="J5" i="1"/>
  <c r="K42" i="2" l="1"/>
  <c r="K44" i="2" s="1"/>
  <c r="K34" i="2"/>
  <c r="K25" i="2"/>
  <c r="T9" i="2"/>
  <c r="T12" i="2" s="1"/>
  <c r="T19" i="2"/>
  <c r="U9" i="2"/>
  <c r="V9" i="2"/>
  <c r="W9" i="2"/>
  <c r="X9" i="2"/>
  <c r="Y9" i="2"/>
  <c r="Z9" i="2"/>
  <c r="AA9" i="2"/>
  <c r="AB9" i="2"/>
  <c r="AC9" i="2"/>
  <c r="AD9" i="2"/>
  <c r="C9" i="2"/>
  <c r="D9" i="2"/>
  <c r="E9" i="2"/>
  <c r="G9" i="2"/>
  <c r="G19" i="2" s="1"/>
  <c r="K9" i="2"/>
  <c r="K12" i="2" s="1"/>
  <c r="K18" i="2"/>
  <c r="H9" i="2"/>
  <c r="L12" i="2"/>
  <c r="L19" i="2"/>
  <c r="L18" i="2"/>
  <c r="I9" i="2"/>
  <c r="M9" i="2"/>
  <c r="N9" i="2"/>
  <c r="J9" i="2"/>
  <c r="T14" i="2" l="1"/>
  <c r="T21" i="2"/>
  <c r="U19" i="2"/>
  <c r="U12" i="2"/>
  <c r="V19" i="2"/>
  <c r="V12" i="2"/>
  <c r="W19" i="2"/>
  <c r="W12" i="2"/>
  <c r="X19" i="2"/>
  <c r="X12" i="2"/>
  <c r="Y19" i="2"/>
  <c r="Y12" i="2"/>
  <c r="Z19" i="2"/>
  <c r="Z12" i="2"/>
  <c r="AA19" i="2"/>
  <c r="AA12" i="2"/>
  <c r="AB19" i="2"/>
  <c r="AB12" i="2"/>
  <c r="AC19" i="2"/>
  <c r="AC12" i="2"/>
  <c r="AD19" i="2"/>
  <c r="AD12" i="2"/>
  <c r="C19" i="2"/>
  <c r="C12" i="2"/>
  <c r="D19" i="2"/>
  <c r="D12" i="2"/>
  <c r="E19" i="2"/>
  <c r="E12" i="2"/>
  <c r="G12" i="2"/>
  <c r="G21" i="2" s="1"/>
  <c r="K19" i="2"/>
  <c r="K21" i="2"/>
  <c r="K14" i="2"/>
  <c r="H19" i="2"/>
  <c r="H12" i="2"/>
  <c r="L21" i="2"/>
  <c r="L14" i="2"/>
  <c r="I19" i="2"/>
  <c r="M19" i="2"/>
  <c r="M12" i="2"/>
  <c r="N19" i="2"/>
  <c r="N12" i="2"/>
  <c r="J19" i="2"/>
  <c r="J12" i="2"/>
  <c r="T15" i="2" l="1"/>
  <c r="T20" i="2"/>
  <c r="U21" i="2"/>
  <c r="U14" i="2"/>
  <c r="V21" i="2"/>
  <c r="V14" i="2"/>
  <c r="W21" i="2"/>
  <c r="W14" i="2"/>
  <c r="X21" i="2"/>
  <c r="X14" i="2"/>
  <c r="Y21" i="2"/>
  <c r="Y14" i="2"/>
  <c r="Z21" i="2"/>
  <c r="Z14" i="2"/>
  <c r="AA21" i="2"/>
  <c r="AA14" i="2"/>
  <c r="AB21" i="2"/>
  <c r="AB14" i="2"/>
  <c r="AC21" i="2"/>
  <c r="AC14" i="2"/>
  <c r="AD21" i="2"/>
  <c r="AD14" i="2"/>
  <c r="C21" i="2"/>
  <c r="C14" i="2"/>
  <c r="D21" i="2"/>
  <c r="D14" i="2"/>
  <c r="E21" i="2"/>
  <c r="E14" i="2"/>
  <c r="G14" i="2"/>
  <c r="G20" i="2" s="1"/>
  <c r="K20" i="2"/>
  <c r="K15" i="2"/>
  <c r="H21" i="2"/>
  <c r="H14" i="2"/>
  <c r="L20" i="2"/>
  <c r="L15" i="2"/>
  <c r="I21" i="2"/>
  <c r="I14" i="2"/>
  <c r="M21" i="2"/>
  <c r="M14" i="2"/>
  <c r="N21" i="2"/>
  <c r="N14" i="2"/>
  <c r="J21" i="2"/>
  <c r="J14" i="2"/>
  <c r="U20" i="2" l="1"/>
  <c r="U15" i="2"/>
  <c r="V20" i="2"/>
  <c r="V15" i="2"/>
  <c r="W15" i="2"/>
  <c r="W20" i="2"/>
  <c r="X20" i="2"/>
  <c r="X15" i="2"/>
  <c r="Y20" i="2"/>
  <c r="Y15" i="2"/>
  <c r="Z20" i="2"/>
  <c r="Z15" i="2"/>
  <c r="AA20" i="2"/>
  <c r="AA15" i="2"/>
  <c r="AB20" i="2"/>
  <c r="AB15" i="2"/>
  <c r="AC20" i="2"/>
  <c r="AC15" i="2"/>
  <c r="AD20" i="2"/>
  <c r="AD15" i="2"/>
  <c r="C20" i="2"/>
  <c r="C15" i="2"/>
  <c r="D20" i="2"/>
  <c r="D15" i="2"/>
  <c r="E20" i="2"/>
  <c r="E15" i="2"/>
  <c r="G15" i="2"/>
  <c r="H20" i="2"/>
  <c r="H15" i="2"/>
  <c r="I20" i="2"/>
  <c r="I15" i="2"/>
  <c r="M20" i="2"/>
  <c r="M15" i="2"/>
  <c r="N20" i="2"/>
  <c r="N15" i="2"/>
  <c r="J20" i="2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AE3" authorId="0" shapeId="0" xr:uid="{A90EA34D-3025-4ACF-A561-074E02FD97E5}">
      <text>
        <r>
          <rPr>
            <b/>
            <sz val="9"/>
            <color indexed="81"/>
            <rFont val="Tahoma"/>
            <charset val="1"/>
          </rPr>
          <t>Dennis Hesselberth:</t>
        </r>
        <r>
          <rPr>
            <sz val="9"/>
            <color indexed="81"/>
            <rFont val="Tahoma"/>
            <charset val="1"/>
          </rPr>
          <t xml:space="preserve">
revenue growth 
2.4% to 3.7%</t>
        </r>
      </text>
    </comment>
  </commentList>
</comments>
</file>

<file path=xl/sharedStrings.xml><?xml version="1.0" encoding="utf-8"?>
<sst xmlns="http://schemas.openxmlformats.org/spreadsheetml/2006/main" count="65" uniqueCount="59">
  <si>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</si>
  <si>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</si>
  <si>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</si>
  <si>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</si>
  <si>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</si>
  <si>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</si>
  <si>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</si>
  <si>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</si>
  <si>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</si>
  <si>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</si>
  <si>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</si>
  <si>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OpIn</t>
  </si>
  <si>
    <t>OpEx</t>
  </si>
  <si>
    <t>Interest expense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</si>
  <si>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</si>
  <si>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</si>
  <si>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</si>
  <si>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</si>
  <si>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</si>
  <si>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</si>
  <si>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</si>
  <si>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</si>
  <si>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</si>
  <si>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</si>
  <si>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</si>
  <si>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</si>
  <si>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</si>
  <si>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</si>
  <si>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</si>
  <si>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</si>
  <si>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</si>
  <si>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</si>
  <si>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</si>
  <si>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</si>
  <si>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margin</t>
  </si>
  <si>
    <t>Operating margin</t>
  </si>
  <si>
    <t>Net margin</t>
  </si>
  <si>
    <t>Tax rate</t>
  </si>
  <si>
    <t>Revenue y/y</t>
  </si>
  <si>
    <t>Net cash</t>
  </si>
  <si>
    <t>A/R</t>
  </si>
  <si>
    <t>Inventories</t>
  </si>
  <si>
    <t>Other</t>
  </si>
  <si>
    <t>PP&amp;E</t>
  </si>
  <si>
    <t>Goodwill</t>
  </si>
  <si>
    <t>Assets</t>
  </si>
  <si>
    <t>A/P</t>
  </si>
  <si>
    <t>Accrued compensation</t>
  </si>
  <si>
    <t>Accrued taxes</t>
  </si>
  <si>
    <t>Other accrued expenses</t>
  </si>
  <si>
    <t>DT</t>
  </si>
  <si>
    <t>Liabilties</t>
  </si>
  <si>
    <t>S/E</t>
  </si>
  <si>
    <t>L+S/E</t>
  </si>
  <si>
    <t>Medtronic</t>
  </si>
  <si>
    <t>MDT</t>
  </si>
  <si>
    <t>Interest income</t>
  </si>
  <si>
    <t>Cash income TTM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</si>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</sst>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NumberFormat="1" applyAlignment="1">
      <alignment horizontal="right"/>
    </xf>
    <xf numFmtId="4" fontId="0" fillId="0" borderId="0" xfId="0" applyNumberFormat="1"/>
    <xf numFmtId="166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28575</xdr:rowOff>
    </xdr:from>
    <xdr:to>
      <xdr:col>14</xdr:col>
      <xdr:colOff>19050</xdr:colOff>
      <xdr:row>82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3C9C1E-0DA7-0E12-5BB9-400CEB3FAEF2}"/>
            </a:ext>
          </a:extLst>
        </xdr:cNvPr>
        <xdr:cNvCxnSpPr/>
      </xdr:nvCxnSpPr>
      <xdr:spPr>
        <a:xfrm>
          <a:off x="8829675" y="28575"/>
          <a:ext cx="0" cy="13277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19050</xdr:rowOff>
    </xdr:from>
    <xdr:to>
      <xdr:col>30</xdr:col>
      <xdr:colOff>19050</xdr:colOff>
      <xdr:row>41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F166F20-84BD-4787-ACFB-D72170E079D6}"/>
            </a:ext>
          </a:extLst>
        </xdr:cNvPr>
        <xdr:cNvCxnSpPr/>
      </xdr:nvCxnSpPr>
      <xdr:spPr>
        <a:xfrm>
          <a:off x="18249900" y="19050"/>
          <a:ext cx="0" cy="6524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B984-D191-4038-8482-585F24A555C3}">
  <dimension ref="I3:J8"/>
  <sheetViews>
    <sheetView workbookViewId="0">
      <selection activeCell="J9" sqref="J9"/>
    </sheetView>
  </sheetViews>
  <sheetFormatPr defaultRowHeight="12.75" x14ac:dyDescent="0.2"/>
  <sheetData>
    <row r="3" spans="9:10" x14ac:dyDescent="0.2">
      <c r="I3" t="s">
        <v>0</v>
      </c>
      <c r="J3">
        <v>77</v>
      </c>
    </row>
    <row r="4" spans="9:10" x14ac:dyDescent="0.2">
      <c r="I4" t="s">
        <v>1</v>
      </c>
      <c r="J4" s="1">
        <v>1282.269783</v>
      </c>
    </row>
    <row r="5" spans="9:10" x14ac:dyDescent="0.2">
      <c r="I5" t="s">
        <v>2</v>
      </c>
      <c r="J5" s="1">
        <f>+J3*J4</f>
        <v>98734.77329099999</v>
      </c>
    </row>
    <row r="6" spans="9:10" x14ac:dyDescent="0.2">
      <c r="I6" t="s">
        <v>3</v>
      </c>
      <c r="J6" s="1">
        <f>1284+6721</f>
        <v>8005</v>
      </c>
    </row>
    <row r="7" spans="9:10" x14ac:dyDescent="0.2">
      <c r="I7" t="s">
        <v>4</v>
      </c>
      <c r="J7" s="1">
        <f>1092+23932</f>
        <v>25024</v>
      </c>
    </row>
    <row r="8" spans="9:10" x14ac:dyDescent="0.2">
      <c r="I8" t="s">
        <v>5</v>
      </c>
      <c r="J8" s="1">
        <f>+J5-J6+J7</f>
        <v>115753.77329099999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0468-E5E3-4C45-A7B2-BE7190A74E26}">
  <dimension ref="B1:AN47"/>
  <sheetViews>
    <sheetView tabSelected="1" workbookViewId="0">
      <pane xSplit="2" ySplit="2" topLeftCell="E36" activePane="bottomRight" state="frozen"/>
      <selection pane="topRight" activeCell="C1" sqref="C1"/>
      <selection pane="bottomLeft" activeCell="A3" sqref="A3"/>
      <selection pane="bottomRight" activeCell="B49" sqref="B49"/>
    </sheetView>
  </sheetViews>
  <sheetFormatPr defaultRowHeight="12.75" x14ac:dyDescent="0.2"/>
  <cols>
    <col min="1" max="1" width="2.5703125" style="1" customWidth="1"/>
    <col min="2" max="2" width="19.85546875" style="1" customWidth="1"/>
    <col min="3" max="6" width="9.140625" style="1"/>
    <col min="7" max="14" width="10.140625" style="1" bestFit="1" customWidth="1"/>
    <col min="15" max="16384" width="9.140625" style="1"/>
  </cols>
  <sheetData>
    <row r="1" spans="2:40" s="8" customFormat="1" x14ac:dyDescent="0.2">
      <c r="B1" s="8" t="s">
        <v>54</v>
      </c>
      <c r="G1" s="8">
        <v>44771</v>
      </c>
      <c r="H1" s="8">
        <v>44862</v>
      </c>
      <c r="I1" s="8">
        <v>44953</v>
      </c>
      <c r="J1" s="8">
        <v>45044</v>
      </c>
      <c r="K1" s="8">
        <v>45135</v>
      </c>
      <c r="L1" s="8">
        <v>45226</v>
      </c>
      <c r="M1" s="8">
        <v>45317</v>
      </c>
      <c r="N1" s="8">
        <v>45408</v>
      </c>
    </row>
    <row r="2" spans="2:40" s="2" customFormat="1" x14ac:dyDescent="0.2">
      <c r="B2" s="10" t="s">
        <v>55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T2" s="6">
        <v>2014</v>
      </c>
      <c r="U2" s="6">
        <f>+T2+1</f>
        <v>2015</v>
      </c>
      <c r="V2" s="6">
        <f t="shared" ref="V2:AN2" si="0">+U2+1</f>
        <v>2016</v>
      </c>
      <c r="W2" s="6">
        <f t="shared" si="0"/>
        <v>2017</v>
      </c>
      <c r="X2" s="6">
        <f t="shared" si="0"/>
        <v>2018</v>
      </c>
      <c r="Y2" s="6">
        <f t="shared" si="0"/>
        <v>2019</v>
      </c>
      <c r="Z2" s="6">
        <f t="shared" si="0"/>
        <v>2020</v>
      </c>
      <c r="AA2" s="6">
        <f t="shared" si="0"/>
        <v>2021</v>
      </c>
      <c r="AB2" s="6">
        <f t="shared" si="0"/>
        <v>2022</v>
      </c>
      <c r="AC2" s="6">
        <f t="shared" si="0"/>
        <v>2023</v>
      </c>
      <c r="AD2" s="6">
        <f t="shared" si="0"/>
        <v>2024</v>
      </c>
      <c r="AE2" s="6">
        <f t="shared" si="0"/>
        <v>2025</v>
      </c>
      <c r="AF2" s="6">
        <f t="shared" si="0"/>
        <v>2026</v>
      </c>
      <c r="AG2" s="6">
        <f t="shared" si="0"/>
        <v>2027</v>
      </c>
      <c r="AH2" s="6">
        <f t="shared" si="0"/>
        <v>2028</v>
      </c>
      <c r="AI2" s="6">
        <f t="shared" si="0"/>
        <v>2029</v>
      </c>
      <c r="AJ2" s="6">
        <f t="shared" si="0"/>
        <v>2030</v>
      </c>
      <c r="AK2" s="6">
        <f t="shared" si="0"/>
        <v>2031</v>
      </c>
      <c r="AL2" s="6">
        <f t="shared" si="0"/>
        <v>2032</v>
      </c>
      <c r="AM2" s="6">
        <f t="shared" si="0"/>
        <v>2033</v>
      </c>
      <c r="AN2" s="6">
        <f t="shared" si="0"/>
        <v>2034</v>
      </c>
    </row>
    <row r="3" spans="2:40" s="3" customFormat="1" x14ac:dyDescent="0.2">
      <c r="B3" s="3" t="s">
        <v>6</v>
      </c>
      <c r="C3" s="3">
        <v>7987</v>
      </c>
      <c r="D3" s="3">
        <v>7847</v>
      </c>
      <c r="E3" s="3">
        <v>7763</v>
      </c>
      <c r="F3" s="3">
        <f>+AB3-SUM(C3:E3)</f>
        <v>8089</v>
      </c>
      <c r="G3" s="3">
        <v>7371</v>
      </c>
      <c r="H3" s="3">
        <v>7585</v>
      </c>
      <c r="I3" s="3">
        <v>7727</v>
      </c>
      <c r="J3" s="3">
        <v>8544</v>
      </c>
      <c r="K3" s="3">
        <v>7702</v>
      </c>
      <c r="L3" s="3">
        <v>7984</v>
      </c>
      <c r="M3" s="3">
        <v>8089</v>
      </c>
      <c r="N3" s="3">
        <v>8589</v>
      </c>
      <c r="T3" s="3">
        <v>20261</v>
      </c>
      <c r="U3" s="3">
        <v>28833</v>
      </c>
      <c r="V3" s="3">
        <v>29710</v>
      </c>
      <c r="W3" s="3">
        <v>29953</v>
      </c>
      <c r="X3" s="3">
        <v>30557</v>
      </c>
      <c r="Y3" s="3">
        <v>28913</v>
      </c>
      <c r="Z3" s="3">
        <v>30117</v>
      </c>
      <c r="AA3" s="3">
        <v>30117</v>
      </c>
      <c r="AB3" s="3">
        <v>31686</v>
      </c>
      <c r="AC3" s="3">
        <v>31227</v>
      </c>
      <c r="AD3" s="3">
        <v>32364</v>
      </c>
    </row>
    <row r="4" spans="2:40" x14ac:dyDescent="0.2">
      <c r="B4" s="1" t="s">
        <v>7</v>
      </c>
      <c r="C4" s="1">
        <v>2598</v>
      </c>
      <c r="D4" s="1">
        <v>2497</v>
      </c>
      <c r="E4" s="1">
        <v>2459</v>
      </c>
      <c r="F4" s="9">
        <f>+AB4-SUM(C4:E4)</f>
        <v>2591</v>
      </c>
      <c r="G4" s="1">
        <v>2516</v>
      </c>
      <c r="H4" s="1">
        <v>2535</v>
      </c>
      <c r="I4" s="1">
        <v>2689</v>
      </c>
      <c r="J4" s="1">
        <v>2980</v>
      </c>
      <c r="K4" s="1">
        <v>2628</v>
      </c>
      <c r="L4" s="1">
        <v>2761</v>
      </c>
      <c r="M4" s="1">
        <v>2782</v>
      </c>
      <c r="N4" s="1">
        <v>3044</v>
      </c>
      <c r="T4" s="1">
        <v>6309</v>
      </c>
      <c r="U4" s="1">
        <v>9142</v>
      </c>
      <c r="V4" s="1">
        <v>9291</v>
      </c>
      <c r="W4" s="1">
        <v>9055</v>
      </c>
      <c r="X4" s="1">
        <v>9155</v>
      </c>
      <c r="Y4" s="1">
        <v>9424</v>
      </c>
      <c r="Z4" s="1">
        <v>10483</v>
      </c>
      <c r="AA4" s="1">
        <v>10483</v>
      </c>
      <c r="AB4" s="1">
        <v>10145</v>
      </c>
      <c r="AC4" s="1">
        <v>10719</v>
      </c>
      <c r="AD4" s="1">
        <v>11216</v>
      </c>
    </row>
    <row r="5" spans="2:40" x14ac:dyDescent="0.2">
      <c r="B5" s="1" t="s">
        <v>8</v>
      </c>
      <c r="C5" s="1">
        <f>+C3-C4</f>
        <v>5389</v>
      </c>
      <c r="D5" s="1">
        <f>+D3-D4</f>
        <v>5350</v>
      </c>
      <c r="E5" s="1">
        <f>+E3-E4</f>
        <v>5304</v>
      </c>
      <c r="F5" s="1">
        <f>+F3-F4</f>
        <v>5498</v>
      </c>
      <c r="G5" s="1">
        <f>+G3-G4</f>
        <v>4855</v>
      </c>
      <c r="H5" s="1">
        <f>+H3-H4</f>
        <v>5050</v>
      </c>
      <c r="I5" s="1">
        <f>+I3-I4</f>
        <v>5038</v>
      </c>
      <c r="J5" s="1">
        <f>+J3-J4</f>
        <v>5564</v>
      </c>
      <c r="K5" s="1">
        <f>+K3-K4</f>
        <v>5074</v>
      </c>
      <c r="L5" s="1">
        <f>+L3-L4</f>
        <v>5223</v>
      </c>
      <c r="M5" s="1">
        <f>+M3-M4</f>
        <v>5307</v>
      </c>
      <c r="N5" s="1">
        <f>+N3-N4</f>
        <v>5545</v>
      </c>
      <c r="T5" s="1">
        <f>+T3-T4</f>
        <v>13952</v>
      </c>
      <c r="U5" s="1">
        <f>+U3-U4</f>
        <v>19691</v>
      </c>
      <c r="V5" s="1">
        <f>+V3-V4</f>
        <v>20419</v>
      </c>
      <c r="W5" s="1">
        <f>+W3-W4</f>
        <v>20898</v>
      </c>
      <c r="X5" s="1">
        <f>+X3-X4</f>
        <v>21402</v>
      </c>
      <c r="Y5" s="1">
        <f>+Y3-Y4</f>
        <v>19489</v>
      </c>
      <c r="Z5" s="1">
        <f>+Z3-Z4</f>
        <v>19634</v>
      </c>
      <c r="AA5" s="1">
        <f>+AA3-AA4</f>
        <v>19634</v>
      </c>
      <c r="AB5" s="1">
        <f>+AB3-AB4</f>
        <v>21541</v>
      </c>
      <c r="AC5" s="1">
        <f>+AC3-AC4</f>
        <v>20508</v>
      </c>
      <c r="AD5" s="1">
        <f>+AD3-AD4</f>
        <v>21148</v>
      </c>
    </row>
    <row r="6" spans="2:40" x14ac:dyDescent="0.2">
      <c r="B6" s="1" t="s">
        <v>9</v>
      </c>
      <c r="C6" s="1">
        <v>750</v>
      </c>
      <c r="D6" s="1">
        <v>676</v>
      </c>
      <c r="E6" s="1">
        <v>668</v>
      </c>
      <c r="F6" s="9">
        <f>+AB6-SUM(C6:E6)</f>
        <v>652</v>
      </c>
      <c r="G6" s="1">
        <v>692</v>
      </c>
      <c r="H6" s="1">
        <v>676</v>
      </c>
      <c r="I6" s="1">
        <v>688</v>
      </c>
      <c r="J6" s="1">
        <v>640</v>
      </c>
      <c r="K6" s="1">
        <v>668</v>
      </c>
      <c r="L6" s="1">
        <v>698</v>
      </c>
      <c r="M6" s="1">
        <v>695</v>
      </c>
      <c r="N6" s="1">
        <v>675</v>
      </c>
      <c r="T6" s="1">
        <v>1640</v>
      </c>
      <c r="U6" s="1">
        <v>2224</v>
      </c>
      <c r="V6" s="1">
        <v>2193</v>
      </c>
      <c r="W6" s="1">
        <v>2253</v>
      </c>
      <c r="X6" s="1">
        <v>2330</v>
      </c>
      <c r="Y6" s="1">
        <v>2331</v>
      </c>
      <c r="Z6" s="1">
        <v>2493</v>
      </c>
      <c r="AA6" s="1">
        <v>2493</v>
      </c>
      <c r="AB6" s="1">
        <v>2746</v>
      </c>
      <c r="AC6" s="1">
        <v>2696</v>
      </c>
      <c r="AD6" s="1">
        <v>2735</v>
      </c>
    </row>
    <row r="7" spans="2:40" x14ac:dyDescent="0.2">
      <c r="B7" s="1" t="s">
        <v>10</v>
      </c>
      <c r="C7" s="1">
        <v>2547</v>
      </c>
      <c r="D7" s="1">
        <v>2615</v>
      </c>
      <c r="E7" s="1">
        <v>2561</v>
      </c>
      <c r="F7" s="9">
        <f>+AB7-SUM(C7:E7)</f>
        <v>2569</v>
      </c>
      <c r="G7" s="1">
        <v>2567</v>
      </c>
      <c r="H7" s="1">
        <v>2617</v>
      </c>
      <c r="I7" s="1">
        <v>2615</v>
      </c>
      <c r="J7" s="1">
        <v>2616</v>
      </c>
      <c r="K7" s="1">
        <v>2613</v>
      </c>
      <c r="L7" s="1">
        <v>2686</v>
      </c>
      <c r="M7" s="1">
        <v>2673</v>
      </c>
      <c r="N7" s="1">
        <v>2765</v>
      </c>
      <c r="T7" s="1">
        <v>6904</v>
      </c>
      <c r="U7" s="1">
        <v>9469</v>
      </c>
      <c r="V7" s="1">
        <v>9711</v>
      </c>
      <c r="W7" s="1">
        <v>9974</v>
      </c>
      <c r="X7" s="1">
        <v>10418</v>
      </c>
      <c r="Y7" s="1">
        <v>10109</v>
      </c>
      <c r="Z7" s="1">
        <v>10148</v>
      </c>
      <c r="AA7" s="1">
        <v>10148</v>
      </c>
      <c r="AB7" s="1">
        <v>10292</v>
      </c>
      <c r="AC7" s="1">
        <v>10415</v>
      </c>
      <c r="AD7" s="1">
        <v>10736</v>
      </c>
    </row>
    <row r="8" spans="2:40" x14ac:dyDescent="0.2">
      <c r="B8" s="1" t="s">
        <v>12</v>
      </c>
      <c r="C8" s="1">
        <f>+SUM(C6:C7)</f>
        <v>3297</v>
      </c>
      <c r="D8" s="1">
        <f>+SUM(D6:D7)</f>
        <v>3291</v>
      </c>
      <c r="E8" s="1">
        <f>+SUM(E6:E7)</f>
        <v>3229</v>
      </c>
      <c r="F8" s="1">
        <f>+SUM(F6:F7)</f>
        <v>3221</v>
      </c>
      <c r="G8" s="1">
        <f>+SUM(G6:G7)</f>
        <v>3259</v>
      </c>
      <c r="H8" s="1">
        <f>+SUM(H6:H7)</f>
        <v>3293</v>
      </c>
      <c r="I8" s="1">
        <f>+SUM(I6:I7)</f>
        <v>3303</v>
      </c>
      <c r="J8" s="1">
        <f>+SUM(J6:J7)</f>
        <v>3256</v>
      </c>
      <c r="K8" s="1">
        <f>+SUM(K6:K7)</f>
        <v>3281</v>
      </c>
      <c r="L8" s="1">
        <f>+SUM(L6:L7)</f>
        <v>3384</v>
      </c>
      <c r="M8" s="1">
        <f>+SUM(M6:M7)</f>
        <v>3368</v>
      </c>
      <c r="N8" s="1">
        <f>+SUM(N6:N7)</f>
        <v>3440</v>
      </c>
      <c r="T8" s="1">
        <f>+SUM(T6:T7)</f>
        <v>8544</v>
      </c>
      <c r="U8" s="1">
        <f>+SUM(U6:U7)</f>
        <v>11693</v>
      </c>
      <c r="V8" s="1">
        <f>+SUM(V6:V7)</f>
        <v>11904</v>
      </c>
      <c r="W8" s="1">
        <f>+SUM(W6:W7)</f>
        <v>12227</v>
      </c>
      <c r="X8" s="1">
        <f>+SUM(X6:X7)</f>
        <v>12748</v>
      </c>
      <c r="Y8" s="1">
        <f>+SUM(Y6:Y7)</f>
        <v>12440</v>
      </c>
      <c r="Z8" s="1">
        <f>+SUM(Z6:Z7)</f>
        <v>12641</v>
      </c>
      <c r="AA8" s="1">
        <f>+SUM(AA6:AA7)</f>
        <v>12641</v>
      </c>
      <c r="AB8" s="1">
        <f>+SUM(AB6:AB7)</f>
        <v>13038</v>
      </c>
      <c r="AC8" s="1">
        <f>+SUM(AC6:AC7)</f>
        <v>13111</v>
      </c>
      <c r="AD8" s="1">
        <f>+SUM(AD6:AD7)</f>
        <v>13471</v>
      </c>
    </row>
    <row r="9" spans="2:40" x14ac:dyDescent="0.2">
      <c r="B9" s="1" t="s">
        <v>11</v>
      </c>
      <c r="C9" s="1">
        <f>+C5-C8</f>
        <v>2092</v>
      </c>
      <c r="D9" s="1">
        <f>+D5-D8</f>
        <v>2059</v>
      </c>
      <c r="E9" s="1">
        <f>+E5-E8</f>
        <v>2075</v>
      </c>
      <c r="F9" s="1">
        <f>+F5-F8</f>
        <v>2277</v>
      </c>
      <c r="G9" s="1">
        <f>+G5-G8</f>
        <v>1596</v>
      </c>
      <c r="H9" s="1">
        <f>+H5-H8</f>
        <v>1757</v>
      </c>
      <c r="I9" s="1">
        <f>+I5-I8</f>
        <v>1735</v>
      </c>
      <c r="J9" s="1">
        <f>+J5-J8</f>
        <v>2308</v>
      </c>
      <c r="K9" s="1">
        <f>+K5-K8</f>
        <v>1793</v>
      </c>
      <c r="L9" s="1">
        <f>+L5-L8</f>
        <v>1839</v>
      </c>
      <c r="M9" s="1">
        <f>+M5-M8</f>
        <v>1939</v>
      </c>
      <c r="N9" s="1">
        <f>+N5-N8</f>
        <v>2105</v>
      </c>
      <c r="T9" s="1">
        <f>+T5-T8</f>
        <v>5408</v>
      </c>
      <c r="U9" s="1">
        <f>+U5-U8</f>
        <v>7998</v>
      </c>
      <c r="V9" s="1">
        <f>+V5-V8</f>
        <v>8515</v>
      </c>
      <c r="W9" s="1">
        <f>+W5-W8</f>
        <v>8671</v>
      </c>
      <c r="X9" s="1">
        <f>+X5-X8</f>
        <v>8654</v>
      </c>
      <c r="Y9" s="1">
        <f>+Y5-Y8</f>
        <v>7049</v>
      </c>
      <c r="Z9" s="1">
        <f>+Z5-Z8</f>
        <v>6993</v>
      </c>
      <c r="AA9" s="1">
        <f>+AA5-AA8</f>
        <v>6993</v>
      </c>
      <c r="AB9" s="1">
        <f>+AB5-AB8</f>
        <v>8503</v>
      </c>
      <c r="AC9" s="1">
        <f>+AC5-AC8</f>
        <v>7397</v>
      </c>
      <c r="AD9" s="1">
        <f>+AD5-AD8</f>
        <v>7677</v>
      </c>
    </row>
    <row r="10" spans="2:40" x14ac:dyDescent="0.2">
      <c r="B10" s="1" t="s">
        <v>56</v>
      </c>
      <c r="C10" s="1">
        <v>111</v>
      </c>
      <c r="D10" s="1">
        <v>66</v>
      </c>
      <c r="E10" s="1">
        <v>67</v>
      </c>
      <c r="F10" s="9">
        <f>+AB10-SUM(C10:E10)</f>
        <v>74</v>
      </c>
      <c r="G10" s="1">
        <v>83</v>
      </c>
      <c r="H10" s="1">
        <v>109</v>
      </c>
      <c r="I10" s="1">
        <v>149</v>
      </c>
      <c r="J10" s="1">
        <v>173</v>
      </c>
      <c r="K10" s="1">
        <v>76</v>
      </c>
      <c r="L10" s="1">
        <v>154</v>
      </c>
      <c r="M10" s="1">
        <v>177</v>
      </c>
      <c r="N10" s="1">
        <v>4</v>
      </c>
      <c r="T10" s="1">
        <v>386</v>
      </c>
      <c r="U10" s="1">
        <v>431</v>
      </c>
      <c r="V10" s="1">
        <v>366</v>
      </c>
      <c r="W10" s="1">
        <v>397</v>
      </c>
      <c r="X10" s="1">
        <v>373</v>
      </c>
      <c r="Y10" s="1">
        <v>356</v>
      </c>
      <c r="Z10" s="1">
        <v>336</v>
      </c>
      <c r="AA10" s="1">
        <v>336</v>
      </c>
      <c r="AB10" s="1">
        <v>318</v>
      </c>
      <c r="AC10" s="1">
        <v>515</v>
      </c>
      <c r="AD10" s="1">
        <v>412</v>
      </c>
    </row>
    <row r="11" spans="2:40" x14ac:dyDescent="0.2">
      <c r="B11" s="1" t="s">
        <v>13</v>
      </c>
      <c r="C11" s="1">
        <v>-137</v>
      </c>
      <c r="D11" s="1">
        <v>-136</v>
      </c>
      <c r="E11" s="1">
        <v>-137</v>
      </c>
      <c r="F11" s="9">
        <f>+AB11-SUM(C11:E11)</f>
        <v>-143</v>
      </c>
      <c r="G11" s="1">
        <v>-164</v>
      </c>
      <c r="H11" s="1">
        <v>-118</v>
      </c>
      <c r="I11" s="1">
        <v>-167</v>
      </c>
      <c r="J11" s="1">
        <v>-187</v>
      </c>
      <c r="K11" s="1">
        <v>-148</v>
      </c>
      <c r="L11" s="1">
        <v>-180</v>
      </c>
      <c r="M11" s="1">
        <v>-188</v>
      </c>
      <c r="N11" s="1">
        <v>-202</v>
      </c>
      <c r="T11" s="1">
        <v>-666</v>
      </c>
      <c r="U11" s="1">
        <v>-1386</v>
      </c>
      <c r="V11" s="1">
        <v>-1094</v>
      </c>
      <c r="W11" s="1">
        <v>-1146</v>
      </c>
      <c r="X11" s="1">
        <v>-1444</v>
      </c>
      <c r="Y11" s="1">
        <v>-1092</v>
      </c>
      <c r="Z11" s="1">
        <v>-925</v>
      </c>
      <c r="AA11" s="1">
        <v>-925</v>
      </c>
      <c r="AB11" s="1">
        <v>-553</v>
      </c>
      <c r="AC11" s="1">
        <v>-636</v>
      </c>
      <c r="AD11" s="1">
        <v>-719</v>
      </c>
    </row>
    <row r="12" spans="2:40" x14ac:dyDescent="0.2">
      <c r="B12" s="1" t="s">
        <v>14</v>
      </c>
      <c r="C12" s="1">
        <f>+C9+SUM(C10:C11)</f>
        <v>2066</v>
      </c>
      <c r="D12" s="1">
        <f>+D9+SUM(D10:D11)</f>
        <v>1989</v>
      </c>
      <c r="E12" s="1">
        <f>+E9+SUM(E10:E11)</f>
        <v>2005</v>
      </c>
      <c r="F12" s="1">
        <f>+F9+SUM(F10:F11)</f>
        <v>2208</v>
      </c>
      <c r="G12" s="1">
        <f>+G9+SUM(G10:G11)</f>
        <v>1515</v>
      </c>
      <c r="H12" s="1">
        <f>+H9+SUM(H10:H11)</f>
        <v>1748</v>
      </c>
      <c r="I12" s="1">
        <f>+I9+SUM(I10:I11)</f>
        <v>1717</v>
      </c>
      <c r="J12" s="1">
        <f>+J9+SUM(J10:J11)</f>
        <v>2294</v>
      </c>
      <c r="K12" s="1">
        <f>+K9+SUM(K10:K11)</f>
        <v>1721</v>
      </c>
      <c r="L12" s="1">
        <f>+L9+SUM(L10:L11)</f>
        <v>1813</v>
      </c>
      <c r="M12" s="1">
        <f>+M9+SUM(M10:M11)</f>
        <v>1928</v>
      </c>
      <c r="N12" s="1">
        <f>+N9+SUM(N10:N11)</f>
        <v>1907</v>
      </c>
      <c r="T12" s="1">
        <f>+T9+SUM(T10:T11)</f>
        <v>5128</v>
      </c>
      <c r="U12" s="1">
        <f>+U9+SUM(U10:U11)</f>
        <v>7043</v>
      </c>
      <c r="V12" s="1">
        <f>+V9+SUM(V10:V11)</f>
        <v>7787</v>
      </c>
      <c r="W12" s="1">
        <f>+W9+SUM(W10:W11)</f>
        <v>7922</v>
      </c>
      <c r="X12" s="1">
        <f>+X9+SUM(X10:X11)</f>
        <v>7583</v>
      </c>
      <c r="Y12" s="1">
        <f>+Y9+SUM(Y10:Y11)</f>
        <v>6313</v>
      </c>
      <c r="Z12" s="1">
        <f>+Z9+SUM(Z10:Z11)</f>
        <v>6404</v>
      </c>
      <c r="AA12" s="1">
        <f>+AA9+SUM(AA10:AA11)</f>
        <v>6404</v>
      </c>
      <c r="AB12" s="1">
        <f>+AB9+SUM(AB10:AB11)</f>
        <v>8268</v>
      </c>
      <c r="AC12" s="1">
        <f>+AC9+SUM(AC10:AC11)</f>
        <v>7276</v>
      </c>
      <c r="AD12" s="1">
        <f>+AD9+SUM(AD10:AD11)</f>
        <v>7370</v>
      </c>
    </row>
    <row r="13" spans="2:40" x14ac:dyDescent="0.2">
      <c r="B13" s="1" t="s">
        <v>15</v>
      </c>
      <c r="C13" s="1">
        <v>64</v>
      </c>
      <c r="D13" s="1">
        <v>176</v>
      </c>
      <c r="E13" s="1">
        <v>106</v>
      </c>
      <c r="F13" s="9">
        <f>+AB13-SUM(C13:E13)</f>
        <v>110</v>
      </c>
      <c r="G13" s="1">
        <v>112</v>
      </c>
      <c r="H13" s="1">
        <v>959</v>
      </c>
      <c r="I13" s="1">
        <v>146</v>
      </c>
      <c r="J13" s="1">
        <v>362</v>
      </c>
      <c r="K13" s="1">
        <v>400</v>
      </c>
      <c r="L13" s="1">
        <v>402</v>
      </c>
      <c r="M13" s="1">
        <v>135</v>
      </c>
      <c r="N13" s="1">
        <v>196</v>
      </c>
      <c r="T13" s="1">
        <v>811</v>
      </c>
      <c r="U13" s="1">
        <v>798</v>
      </c>
      <c r="V13" s="1">
        <v>578</v>
      </c>
      <c r="W13" s="1">
        <v>2580</v>
      </c>
      <c r="X13" s="1">
        <v>547</v>
      </c>
      <c r="Y13" s="1">
        <v>-751</v>
      </c>
      <c r="Z13" s="1">
        <v>265</v>
      </c>
      <c r="AA13" s="1">
        <v>265</v>
      </c>
      <c r="AB13" s="1">
        <v>456</v>
      </c>
      <c r="AC13" s="1">
        <v>1580</v>
      </c>
      <c r="AD13" s="1">
        <v>1133</v>
      </c>
    </row>
    <row r="14" spans="2:40" x14ac:dyDescent="0.2">
      <c r="B14" s="1" t="s">
        <v>16</v>
      </c>
      <c r="C14" s="1">
        <f>+C12-C13</f>
        <v>2002</v>
      </c>
      <c r="D14" s="1">
        <f>+D12-D13</f>
        <v>1813</v>
      </c>
      <c r="E14" s="1">
        <f>+E12-E13</f>
        <v>1899</v>
      </c>
      <c r="F14" s="1">
        <f>+F12-F13</f>
        <v>2098</v>
      </c>
      <c r="G14" s="1">
        <f>+G12-G13</f>
        <v>1403</v>
      </c>
      <c r="H14" s="1">
        <f>+H12-H13</f>
        <v>789</v>
      </c>
      <c r="I14" s="1">
        <f>+I12-I13</f>
        <v>1571</v>
      </c>
      <c r="J14" s="1">
        <f>+J12-J13</f>
        <v>1932</v>
      </c>
      <c r="K14" s="1">
        <f>+K12-K13</f>
        <v>1321</v>
      </c>
      <c r="L14" s="1">
        <f>+L12-L13</f>
        <v>1411</v>
      </c>
      <c r="M14" s="1">
        <f>+M12-M13</f>
        <v>1793</v>
      </c>
      <c r="N14" s="1">
        <f>+N12-N13</f>
        <v>1711</v>
      </c>
      <c r="T14" s="1">
        <f>+T12-T13</f>
        <v>4317</v>
      </c>
      <c r="U14" s="1">
        <f>+U12-U13</f>
        <v>6245</v>
      </c>
      <c r="V14" s="1">
        <f>+V12-V13</f>
        <v>7209</v>
      </c>
      <c r="W14" s="1">
        <f>+W12-W13</f>
        <v>5342</v>
      </c>
      <c r="X14" s="1">
        <f>+X12-X13</f>
        <v>7036</v>
      </c>
      <c r="Y14" s="1">
        <f>+Y12-Y13</f>
        <v>7064</v>
      </c>
      <c r="Z14" s="1">
        <f>+Z12-Z13</f>
        <v>6139</v>
      </c>
      <c r="AA14" s="1">
        <f>+AA12-AA13</f>
        <v>6139</v>
      </c>
      <c r="AB14" s="1">
        <f>+AB12-AB13</f>
        <v>7812</v>
      </c>
      <c r="AC14" s="1">
        <f>+AC12-AC13</f>
        <v>5696</v>
      </c>
      <c r="AD14" s="1">
        <f>+AD12-AD13</f>
        <v>6237</v>
      </c>
    </row>
    <row r="15" spans="2:40" x14ac:dyDescent="0.2">
      <c r="B15" s="1" t="s">
        <v>17</v>
      </c>
      <c r="C15" s="7">
        <f>+C14/C16</f>
        <v>1.4759657918018283</v>
      </c>
      <c r="D15" s="7">
        <f>+D14/D16</f>
        <v>1.3377112078506603</v>
      </c>
      <c r="E15" s="7">
        <f>+E14/E16</f>
        <v>1.4063541435236615</v>
      </c>
      <c r="F15" s="7">
        <f>+F14/F16</f>
        <v>1.5494830132939439</v>
      </c>
      <c r="G15" s="7">
        <f>+G14/G16</f>
        <v>1.0513300861745973</v>
      </c>
      <c r="H15" s="7">
        <f>+H14/H16</f>
        <v>0.59234234234234229</v>
      </c>
      <c r="I15" s="7">
        <f>+I14/I16</f>
        <v>1.1794294294294294</v>
      </c>
      <c r="J15" s="7">
        <f>+J14/J16</f>
        <v>1.4495798319327731</v>
      </c>
      <c r="K15" s="7">
        <f>+K14/K16</f>
        <v>0.99040335882441144</v>
      </c>
      <c r="L15" s="7">
        <f>+L14/L16</f>
        <v>1.0593888430062317</v>
      </c>
      <c r="M15" s="7">
        <f>+M14/M16</f>
        <v>1.3463993391905082</v>
      </c>
      <c r="N15" s="7">
        <f>+N14/N16</f>
        <v>1.2909310396861324</v>
      </c>
      <c r="O15" s="7"/>
      <c r="T15" s="7">
        <f>+T14/T16</f>
        <v>3.8926961226330028</v>
      </c>
      <c r="U15" s="7">
        <f>+U14/U16</f>
        <v>4.3796900203380318</v>
      </c>
      <c r="V15" s="7">
        <f>+V14/V16</f>
        <v>5.1811125485122895</v>
      </c>
      <c r="W15" s="7">
        <f>+W14/W16</f>
        <v>3.9043999415290163</v>
      </c>
      <c r="X15" s="7">
        <f>+X14/X16</f>
        <v>5.1830570902394104</v>
      </c>
      <c r="Y15" s="7">
        <f>+Y14/Y16</f>
        <v>5.2283324698393905</v>
      </c>
      <c r="Z15" s="7">
        <f>+Z14/Z16</f>
        <v>4.5339734121122603</v>
      </c>
      <c r="AA15" s="7">
        <f>+AA14/AA16</f>
        <v>4.5339734121122603</v>
      </c>
      <c r="AB15" s="7">
        <f>+AB14/AB16</f>
        <v>5.78067189581175</v>
      </c>
      <c r="AC15" s="7">
        <f>+AC14/AC16</f>
        <v>4.2737094837935174</v>
      </c>
      <c r="AD15" s="7">
        <f>+AD14/AD16</f>
        <v>4.6887686062246274</v>
      </c>
    </row>
    <row r="16" spans="2:40" x14ac:dyDescent="0.2">
      <c r="B16" s="1" t="s">
        <v>1</v>
      </c>
      <c r="C16" s="1">
        <v>1356.4</v>
      </c>
      <c r="D16" s="1">
        <v>1355.3</v>
      </c>
      <c r="E16" s="1">
        <v>1350.3</v>
      </c>
      <c r="F16" s="1">
        <f>+AVERAGE(C16:E16)</f>
        <v>1354</v>
      </c>
      <c r="G16" s="1">
        <v>1334.5</v>
      </c>
      <c r="H16" s="1">
        <v>1332</v>
      </c>
      <c r="I16" s="1">
        <v>1332</v>
      </c>
      <c r="J16" s="1">
        <v>1332.8</v>
      </c>
      <c r="K16" s="1">
        <v>1333.8</v>
      </c>
      <c r="L16" s="1">
        <v>1331.9</v>
      </c>
      <c r="M16" s="1">
        <v>1331.7</v>
      </c>
      <c r="N16" s="1">
        <v>1325.4</v>
      </c>
      <c r="T16" s="1">
        <v>1109</v>
      </c>
      <c r="U16" s="1">
        <v>1425.9</v>
      </c>
      <c r="V16" s="1">
        <v>1391.4</v>
      </c>
      <c r="W16" s="1">
        <v>1368.2</v>
      </c>
      <c r="X16" s="1">
        <v>1357.5</v>
      </c>
      <c r="Y16" s="1">
        <v>1351.1</v>
      </c>
      <c r="Z16" s="1">
        <v>1354</v>
      </c>
      <c r="AA16" s="1">
        <v>1354</v>
      </c>
      <c r="AB16" s="1">
        <v>1351.4</v>
      </c>
      <c r="AC16" s="1">
        <v>1332.8</v>
      </c>
      <c r="AD16" s="1">
        <v>1330.2</v>
      </c>
    </row>
    <row r="18" spans="2:30" s="4" customFormat="1" x14ac:dyDescent="0.2">
      <c r="B18" s="4" t="s">
        <v>34</v>
      </c>
      <c r="C18" s="4">
        <f>+C5/C3</f>
        <v>0.67472142231125576</v>
      </c>
      <c r="D18" s="4">
        <f>+D5/D3</f>
        <v>0.6817892188097362</v>
      </c>
      <c r="E18" s="4">
        <f>+E5/E3</f>
        <v>0.68324101507149293</v>
      </c>
      <c r="F18" s="4">
        <f>+F5/F3</f>
        <v>0.6796884658177772</v>
      </c>
      <c r="G18" s="4">
        <f>+G5/G3</f>
        <v>0.65866232532899205</v>
      </c>
      <c r="H18" s="4">
        <f>+H5/H3</f>
        <v>0.66578773895847065</v>
      </c>
      <c r="I18" s="4">
        <f>+I5/I3</f>
        <v>0.65199948233467064</v>
      </c>
      <c r="J18" s="4">
        <f>+J5/J3</f>
        <v>0.65121722846441943</v>
      </c>
      <c r="K18" s="4">
        <f>+K5/K3</f>
        <v>0.6587899246948844</v>
      </c>
      <c r="L18" s="4">
        <f>+L5/L3</f>
        <v>0.65418336673346689</v>
      </c>
      <c r="M18" s="4">
        <f>+M5/M3</f>
        <v>0.6560761528000989</v>
      </c>
      <c r="N18" s="4">
        <f>+N5/N3</f>
        <v>0.64559320060542558</v>
      </c>
      <c r="T18" s="4">
        <f>+T5/T3</f>
        <v>0.68861359261635657</v>
      </c>
      <c r="U18" s="4">
        <f>+U5/U3</f>
        <v>0.68293275066763781</v>
      </c>
      <c r="V18" s="4">
        <f>+V5/V3</f>
        <v>0.68727701110737127</v>
      </c>
      <c r="W18" s="4">
        <f>+W5/W3</f>
        <v>0.6976930524488365</v>
      </c>
      <c r="X18" s="4">
        <f>+X5/X3</f>
        <v>0.70039598128088487</v>
      </c>
      <c r="Y18" s="4">
        <f>+Y5/Y3</f>
        <v>0.67405665271677095</v>
      </c>
      <c r="Z18" s="4">
        <f>+Z5/Z3</f>
        <v>0.6519241624331773</v>
      </c>
      <c r="AA18" s="4">
        <f>+AA5/AA3</f>
        <v>0.6519241624331773</v>
      </c>
      <c r="AB18" s="4">
        <f>+AB5/AB3</f>
        <v>0.67982705295714196</v>
      </c>
      <c r="AC18" s="4">
        <f>+AC5/AC3</f>
        <v>0.65673936016908441</v>
      </c>
      <c r="AD18" s="4">
        <f>+AD5/AD3</f>
        <v>0.65344209615622295</v>
      </c>
    </row>
    <row r="19" spans="2:30" s="4" customFormat="1" x14ac:dyDescent="0.2">
      <c r="B19" s="4" t="s">
        <v>35</v>
      </c>
      <c r="C19" s="4">
        <f>+C9/C3</f>
        <v>0.26192562914736445</v>
      </c>
      <c r="D19" s="4">
        <f>+D9/D3</f>
        <v>0.26239327131387791</v>
      </c>
      <c r="E19" s="4">
        <f>+E9/E3</f>
        <v>0.26729357207265231</v>
      </c>
      <c r="F19" s="4">
        <f>+F9/F3</f>
        <v>0.28149338607986152</v>
      </c>
      <c r="G19" s="4">
        <f>+G9/G3</f>
        <v>0.21652421652421652</v>
      </c>
      <c r="H19" s="4">
        <f>+H9/H3</f>
        <v>0.23164139749505602</v>
      </c>
      <c r="I19" s="4">
        <f>+I9/I3</f>
        <v>0.22453733661188041</v>
      </c>
      <c r="J19" s="4">
        <f>+J9/J3</f>
        <v>0.27013108614232212</v>
      </c>
      <c r="K19" s="4">
        <f>+K9/K3</f>
        <v>0.23279667618800312</v>
      </c>
      <c r="L19" s="4">
        <f>+L9/L3</f>
        <v>0.23033567134268537</v>
      </c>
      <c r="M19" s="4">
        <f>+M9/M3</f>
        <v>0.23970824576585487</v>
      </c>
      <c r="N19" s="4">
        <f>+N9/N3</f>
        <v>0.24508091745255559</v>
      </c>
      <c r="T19" s="4">
        <f>+T9/T3</f>
        <v>0.26691673658753268</v>
      </c>
      <c r="U19" s="4">
        <f>+U9/U3</f>
        <v>0.27739049006346894</v>
      </c>
      <c r="V19" s="4">
        <f>+V9/V3</f>
        <v>0.28660383709188825</v>
      </c>
      <c r="W19" s="4">
        <f>+W9/W3</f>
        <v>0.28948686275164426</v>
      </c>
      <c r="X19" s="4">
        <f>+X9/X3</f>
        <v>0.28320843014693853</v>
      </c>
      <c r="Y19" s="4">
        <f>+Y9/Y3</f>
        <v>0.24380036661709265</v>
      </c>
      <c r="Z19" s="4">
        <f>+Z9/Z3</f>
        <v>0.23219444167745792</v>
      </c>
      <c r="AA19" s="4">
        <f>+AA9/AA3</f>
        <v>0.23219444167745792</v>
      </c>
      <c r="AB19" s="4">
        <f>+AB9/AB3</f>
        <v>0.26835195354415198</v>
      </c>
      <c r="AC19" s="4">
        <f>+AC9/AC3</f>
        <v>0.2368783424600506</v>
      </c>
      <c r="AD19" s="4">
        <f>+AD9/AD3</f>
        <v>0.23720800889877641</v>
      </c>
    </row>
    <row r="20" spans="2:30" s="4" customFormat="1" x14ac:dyDescent="0.2">
      <c r="B20" s="4" t="s">
        <v>36</v>
      </c>
      <c r="C20" s="4">
        <f>+C14/C3</f>
        <v>0.25065731814198072</v>
      </c>
      <c r="D20" s="4">
        <f>+D14/D3</f>
        <v>0.23104371097234611</v>
      </c>
      <c r="E20" s="4">
        <f>+E14/E3</f>
        <v>0.24462192451371892</v>
      </c>
      <c r="F20" s="4">
        <f>+F14/F3</f>
        <v>0.25936456916800593</v>
      </c>
      <c r="G20" s="4">
        <f>+G14/G3</f>
        <v>0.19034052367385701</v>
      </c>
      <c r="H20" s="4">
        <f>+H14/H3</f>
        <v>0.1040210942649967</v>
      </c>
      <c r="I20" s="4">
        <f>+I14/I3</f>
        <v>0.20331305810793321</v>
      </c>
      <c r="J20" s="4">
        <f>+J14/J3</f>
        <v>0.22612359550561797</v>
      </c>
      <c r="K20" s="4">
        <f>+K14/K3</f>
        <v>0.17151389249545573</v>
      </c>
      <c r="L20" s="4">
        <f>+L14/L3</f>
        <v>0.17672845691382766</v>
      </c>
      <c r="M20" s="4">
        <f>+M14/M3</f>
        <v>0.22165904314501175</v>
      </c>
      <c r="N20" s="4">
        <f>+N14/N3</f>
        <v>0.19920828967283735</v>
      </c>
      <c r="T20" s="4">
        <f>+T14/T3</f>
        <v>0.21306944375894576</v>
      </c>
      <c r="U20" s="4">
        <f>+U14/U3</f>
        <v>0.21659209933062809</v>
      </c>
      <c r="V20" s="4">
        <f>+V14/V3</f>
        <v>0.2426455738808482</v>
      </c>
      <c r="W20" s="4">
        <f>+W14/W3</f>
        <v>0.17834607551831202</v>
      </c>
      <c r="X20" s="4">
        <f>+X14/X3</f>
        <v>0.2302582059757175</v>
      </c>
      <c r="Y20" s="4">
        <f>+Y14/Y3</f>
        <v>0.2443191643897209</v>
      </c>
      <c r="Z20" s="4">
        <f>+Z14/Z3</f>
        <v>0.20383836371484543</v>
      </c>
      <c r="AA20" s="4">
        <f>+AA14/AA3</f>
        <v>0.20383836371484543</v>
      </c>
      <c r="AB20" s="4">
        <f>+AB14/AB3</f>
        <v>0.24654421511077448</v>
      </c>
      <c r="AC20" s="4">
        <f>+AC14/AC3</f>
        <v>0.18240625100073654</v>
      </c>
      <c r="AD20" s="4">
        <f>+AD14/AD3</f>
        <v>0.19271412680756397</v>
      </c>
    </row>
    <row r="21" spans="2:30" s="4" customFormat="1" x14ac:dyDescent="0.2">
      <c r="B21" s="4" t="s">
        <v>37</v>
      </c>
      <c r="C21" s="4">
        <f>+C13/C12</f>
        <v>3.0977734753146177E-2</v>
      </c>
      <c r="D21" s="4">
        <f>+D13/D12</f>
        <v>8.8486676721970844E-2</v>
      </c>
      <c r="E21" s="4">
        <f>+E13/E12</f>
        <v>5.2867830423940151E-2</v>
      </c>
      <c r="F21" s="4">
        <f>+F13/F12</f>
        <v>4.9818840579710144E-2</v>
      </c>
      <c r="G21" s="4">
        <f>+G13/G12</f>
        <v>7.3927392739273928E-2</v>
      </c>
      <c r="H21" s="4">
        <f>+H13/H12</f>
        <v>0.5486270022883295</v>
      </c>
      <c r="I21" s="4">
        <f>+I13/I12</f>
        <v>8.5032032615026204E-2</v>
      </c>
      <c r="J21" s="4">
        <f>+J13/J12</f>
        <v>0.15780296425457715</v>
      </c>
      <c r="K21" s="4">
        <f>+K13/K12</f>
        <v>0.23242300987797793</v>
      </c>
      <c r="L21" s="4">
        <f>+L13/L12</f>
        <v>0.22173193601765032</v>
      </c>
      <c r="M21" s="4">
        <f>+M13/M12</f>
        <v>7.0020746887966806E-2</v>
      </c>
      <c r="N21" s="4">
        <f>+N13/N12</f>
        <v>0.10277923439958049</v>
      </c>
      <c r="T21" s="4">
        <f>+T13/T12</f>
        <v>0.15815132605304213</v>
      </c>
      <c r="U21" s="4">
        <f>+U13/U12</f>
        <v>0.11330398977708363</v>
      </c>
      <c r="V21" s="4">
        <f>+V13/V12</f>
        <v>7.4226274560164382E-2</v>
      </c>
      <c r="W21" s="4">
        <f>+W13/W12</f>
        <v>0.325675334511487</v>
      </c>
      <c r="X21" s="4">
        <f>+X13/X12</f>
        <v>7.213503890280891E-2</v>
      </c>
      <c r="Y21" s="4">
        <f>+Y13/Y12</f>
        <v>-0.11896087438618723</v>
      </c>
      <c r="Z21" s="4">
        <f>+Z13/Z12</f>
        <v>4.1380387257963773E-2</v>
      </c>
      <c r="AA21" s="4">
        <f>+AA13/AA12</f>
        <v>4.1380387257963773E-2</v>
      </c>
      <c r="AB21" s="4">
        <f>+AB13/AB12</f>
        <v>5.5152394775036286E-2</v>
      </c>
      <c r="AC21" s="4">
        <f>+AC13/AC12</f>
        <v>0.21715228147333701</v>
      </c>
      <c r="AD21" s="4">
        <f>+AD13/AD12</f>
        <v>0.15373134328358209</v>
      </c>
    </row>
    <row r="22" spans="2:30" s="4" customFormat="1" x14ac:dyDescent="0.2"/>
    <row r="23" spans="2:30" s="5" customFormat="1" x14ac:dyDescent="0.2">
      <c r="B23" s="5" t="s">
        <v>38</v>
      </c>
      <c r="G23" s="5">
        <f>+G3/C3-1</f>
        <v>-7.7125328659070957E-2</v>
      </c>
      <c r="H23" s="5">
        <f>+H3/D3-1</f>
        <v>-3.338855613610292E-2</v>
      </c>
      <c r="I23" s="5">
        <f>+I3/E3-1</f>
        <v>-4.6373824552363718E-3</v>
      </c>
      <c r="J23" s="5">
        <f>+J3/F3-1</f>
        <v>5.6249227345778197E-2</v>
      </c>
      <c r="K23" s="5">
        <f>+K3/G3-1</f>
        <v>4.4905711572378326E-2</v>
      </c>
      <c r="L23" s="5">
        <f>+L3/H3-1</f>
        <v>5.2603823335530597E-2</v>
      </c>
      <c r="M23" s="5">
        <f>+M3/I3-1</f>
        <v>4.6848712307493212E-2</v>
      </c>
      <c r="N23" s="5">
        <f>+N3/J3-1</f>
        <v>5.2668539325841923E-3</v>
      </c>
      <c r="U23" s="5">
        <f>+U3/T3-1</f>
        <v>0.42307882138097819</v>
      </c>
      <c r="V23" s="5">
        <f>+V3/U3-1</f>
        <v>3.0416536607359657E-2</v>
      </c>
      <c r="W23" s="5">
        <f>+W3/V3-1</f>
        <v>8.1790642881185427E-3</v>
      </c>
      <c r="X23" s="5">
        <f>+X3/W3-1</f>
        <v>2.016492504924372E-2</v>
      </c>
      <c r="Y23" s="5">
        <f>+Y3/X3-1</f>
        <v>-5.380109303923819E-2</v>
      </c>
      <c r="Z23" s="5">
        <f>+Z3/Y3-1</f>
        <v>4.1642167882959269E-2</v>
      </c>
      <c r="AA23" s="5">
        <f>+AA3/Z3-1</f>
        <v>0</v>
      </c>
      <c r="AB23" s="5">
        <f>+AB3/AA3-1</f>
        <v>5.2096822392668551E-2</v>
      </c>
      <c r="AC23" s="5">
        <f>+AC3/AB3-1</f>
        <v>-1.4485892823328905E-2</v>
      </c>
      <c r="AD23" s="5">
        <f>+AD3/AC3-1</f>
        <v>3.6410798347583873E-2</v>
      </c>
    </row>
    <row r="25" spans="2:30" x14ac:dyDescent="0.2">
      <c r="B25" s="1" t="s">
        <v>39</v>
      </c>
      <c r="K25" s="1">
        <f>+K26-K35</f>
        <v>-17106</v>
      </c>
      <c r="L25" s="1">
        <f>+L26-L35</f>
        <v>-17346</v>
      </c>
      <c r="M25" s="1">
        <f>+M26-M35</f>
        <v>-16861</v>
      </c>
      <c r="N25" s="1">
        <f>+N26-N35</f>
        <v>-17019</v>
      </c>
    </row>
    <row r="26" spans="2:30" x14ac:dyDescent="0.2">
      <c r="B26" s="1" t="s">
        <v>3</v>
      </c>
      <c r="K26" s="1">
        <f>1339+6537</f>
        <v>7876</v>
      </c>
      <c r="L26" s="1">
        <f>1311+6423</f>
        <v>7734</v>
      </c>
      <c r="M26" s="1">
        <f>1623+6698</f>
        <v>8321</v>
      </c>
      <c r="N26" s="1">
        <f>1284+6721</f>
        <v>8005</v>
      </c>
    </row>
    <row r="27" spans="2:30" x14ac:dyDescent="0.2">
      <c r="B27" s="1" t="s">
        <v>40</v>
      </c>
      <c r="K27" s="1">
        <v>5806</v>
      </c>
      <c r="L27" s="1">
        <v>5934</v>
      </c>
      <c r="M27" s="1">
        <v>5968</v>
      </c>
      <c r="N27" s="1">
        <v>6128</v>
      </c>
    </row>
    <row r="28" spans="2:30" x14ac:dyDescent="0.2">
      <c r="B28" s="1" t="s">
        <v>41</v>
      </c>
      <c r="K28" s="1">
        <v>5668</v>
      </c>
      <c r="L28" s="1">
        <v>5754</v>
      </c>
      <c r="M28" s="1">
        <v>5726</v>
      </c>
      <c r="N28" s="1">
        <v>5217</v>
      </c>
    </row>
    <row r="29" spans="2:30" x14ac:dyDescent="0.2">
      <c r="B29" s="1" t="s">
        <v>42</v>
      </c>
      <c r="K29" s="1">
        <v>2518</v>
      </c>
      <c r="L29" s="1">
        <v>2658</v>
      </c>
      <c r="M29" s="1">
        <v>2499</v>
      </c>
      <c r="N29" s="1">
        <v>2584</v>
      </c>
    </row>
    <row r="30" spans="2:30" x14ac:dyDescent="0.2">
      <c r="B30" s="1" t="s">
        <v>43</v>
      </c>
      <c r="K30" s="1">
        <v>5665</v>
      </c>
      <c r="L30" s="1">
        <v>5735</v>
      </c>
      <c r="M30" s="1">
        <v>5838</v>
      </c>
      <c r="N30" s="1">
        <v>6131</v>
      </c>
    </row>
    <row r="31" spans="2:30" x14ac:dyDescent="0.2">
      <c r="B31" s="1" t="s">
        <v>44</v>
      </c>
      <c r="K31" s="1">
        <f>41436+14434</f>
        <v>55870</v>
      </c>
      <c r="L31" s="1">
        <f>40821+14060</f>
        <v>54881</v>
      </c>
      <c r="M31" s="1">
        <f>41160+13690</f>
        <v>54850</v>
      </c>
      <c r="N31" s="1">
        <f>40986+13225</f>
        <v>54211</v>
      </c>
    </row>
    <row r="32" spans="2:30" x14ac:dyDescent="0.2">
      <c r="B32" s="1" t="s">
        <v>15</v>
      </c>
      <c r="K32" s="1">
        <v>3461</v>
      </c>
      <c r="L32" s="1">
        <v>3428</v>
      </c>
      <c r="M32" s="1">
        <v>3599</v>
      </c>
      <c r="N32" s="1">
        <v>3657</v>
      </c>
    </row>
    <row r="33" spans="2:14" x14ac:dyDescent="0.2">
      <c r="B33" s="1" t="s">
        <v>42</v>
      </c>
      <c r="K33" s="1">
        <v>3912</v>
      </c>
      <c r="L33" s="1">
        <v>3962</v>
      </c>
      <c r="M33" s="1">
        <v>4036</v>
      </c>
      <c r="N33" s="1">
        <v>4047</v>
      </c>
    </row>
    <row r="34" spans="2:14" s="3" customFormat="1" x14ac:dyDescent="0.2">
      <c r="B34" s="3" t="s">
        <v>45</v>
      </c>
      <c r="K34" s="3">
        <f>+SUM(K26:K33)</f>
        <v>90776</v>
      </c>
      <c r="L34" s="3">
        <f>+SUM(L26:L33)</f>
        <v>90086</v>
      </c>
      <c r="M34" s="3">
        <f>+SUM(M26:M33)</f>
        <v>90837</v>
      </c>
      <c r="N34" s="3">
        <f>+SUM(N26:N33)</f>
        <v>89980</v>
      </c>
    </row>
    <row r="35" spans="2:14" x14ac:dyDescent="0.2">
      <c r="B35" s="1" t="s">
        <v>4</v>
      </c>
      <c r="K35" s="1">
        <f>519+24463</f>
        <v>24982</v>
      </c>
      <c r="L35" s="1">
        <f>1339+23741</f>
        <v>25080</v>
      </c>
      <c r="M35" s="1">
        <f>1029+24153</f>
        <v>25182</v>
      </c>
      <c r="N35" s="1">
        <f>1092+23932</f>
        <v>25024</v>
      </c>
    </row>
    <row r="36" spans="2:14" x14ac:dyDescent="0.2">
      <c r="B36" s="1" t="s">
        <v>46</v>
      </c>
      <c r="K36" s="1">
        <v>2239</v>
      </c>
      <c r="L36" s="1">
        <v>2174</v>
      </c>
      <c r="M36" s="1">
        <v>1992</v>
      </c>
      <c r="N36" s="1">
        <v>2410</v>
      </c>
    </row>
    <row r="37" spans="2:14" x14ac:dyDescent="0.2">
      <c r="B37" s="1" t="s">
        <v>47</v>
      </c>
      <c r="K37" s="1">
        <f>1695+1092</f>
        <v>2787</v>
      </c>
      <c r="L37" s="1">
        <f>1758+1020</f>
        <v>2778</v>
      </c>
      <c r="M37" s="1">
        <f>2174+1049</f>
        <v>3223</v>
      </c>
      <c r="N37" s="1">
        <f>2375+1101</f>
        <v>3476</v>
      </c>
    </row>
    <row r="38" spans="2:14" x14ac:dyDescent="0.2">
      <c r="B38" s="1" t="s">
        <v>48</v>
      </c>
      <c r="K38" s="1">
        <f>1013+2407</f>
        <v>3420</v>
      </c>
      <c r="L38" s="1">
        <f>1088+1777</f>
        <v>2865</v>
      </c>
      <c r="M38" s="1">
        <f>1109+1821</f>
        <v>2930</v>
      </c>
      <c r="N38" s="1">
        <f>1330+1859</f>
        <v>3189</v>
      </c>
    </row>
    <row r="39" spans="2:14" x14ac:dyDescent="0.2">
      <c r="B39" s="1" t="s">
        <v>49</v>
      </c>
      <c r="K39" s="1">
        <v>3581</v>
      </c>
      <c r="L39" s="1">
        <v>3299</v>
      </c>
      <c r="M39" s="1">
        <v>3488</v>
      </c>
      <c r="N39" s="1">
        <v>3582</v>
      </c>
    </row>
    <row r="40" spans="2:14" x14ac:dyDescent="0.2">
      <c r="B40" s="1" t="s">
        <v>50</v>
      </c>
      <c r="K40" s="1">
        <v>687</v>
      </c>
      <c r="L40" s="1">
        <v>686</v>
      </c>
      <c r="M40" s="1">
        <v>615</v>
      </c>
      <c r="N40" s="1">
        <v>515</v>
      </c>
    </row>
    <row r="41" spans="2:14" x14ac:dyDescent="0.2">
      <c r="B41" s="1" t="s">
        <v>42</v>
      </c>
      <c r="K41" s="1">
        <v>1715</v>
      </c>
      <c r="L41" s="1">
        <v>1556</v>
      </c>
      <c r="M41" s="1">
        <v>1410</v>
      </c>
      <c r="N41" s="1">
        <v>1365</v>
      </c>
    </row>
    <row r="42" spans="2:14" s="3" customFormat="1" x14ac:dyDescent="0.2">
      <c r="B42" s="3" t="s">
        <v>51</v>
      </c>
      <c r="K42" s="3">
        <f>+SUM(K35:K41)</f>
        <v>39411</v>
      </c>
      <c r="L42" s="3">
        <f>+SUM(L35:L41)</f>
        <v>38438</v>
      </c>
      <c r="M42" s="3">
        <f>+SUM(M35:M41)</f>
        <v>38840</v>
      </c>
      <c r="N42" s="3">
        <f>+SUM(N35:N41)</f>
        <v>39561</v>
      </c>
    </row>
    <row r="43" spans="2:14" x14ac:dyDescent="0.2">
      <c r="B43" s="1" t="s">
        <v>52</v>
      </c>
      <c r="K43" s="1">
        <v>51366</v>
      </c>
      <c r="L43" s="1">
        <v>51647</v>
      </c>
      <c r="M43" s="1">
        <v>51996</v>
      </c>
      <c r="N43" s="1">
        <v>50420</v>
      </c>
    </row>
    <row r="44" spans="2:14" x14ac:dyDescent="0.2">
      <c r="B44" s="1" t="s">
        <v>53</v>
      </c>
      <c r="K44" s="1">
        <f>+K43+K42</f>
        <v>90777</v>
      </c>
      <c r="L44" s="1">
        <f>+L43+L42</f>
        <v>90085</v>
      </c>
      <c r="M44" s="1">
        <f>+M43+M42</f>
        <v>90836</v>
      </c>
      <c r="N44" s="1">
        <f>+N43+N42</f>
        <v>89981</v>
      </c>
    </row>
    <row r="46" spans="2:14" x14ac:dyDescent="0.2">
      <c r="B46" s="1" t="s">
        <v>57</v>
      </c>
      <c r="G46" s="1">
        <f t="shared" ref="G46:M46" si="1">+SUM(D14:G14)</f>
        <v>7213</v>
      </c>
      <c r="H46" s="1">
        <f t="shared" si="1"/>
        <v>6189</v>
      </c>
      <c r="I46" s="1">
        <f t="shared" si="1"/>
        <v>5861</v>
      </c>
      <c r="J46" s="1">
        <f t="shared" si="1"/>
        <v>5695</v>
      </c>
      <c r="K46" s="1">
        <f t="shared" si="1"/>
        <v>5613</v>
      </c>
      <c r="L46" s="1">
        <f t="shared" si="1"/>
        <v>6235</v>
      </c>
      <c r="M46" s="1">
        <f t="shared" si="1"/>
        <v>6457</v>
      </c>
      <c r="N46" s="1">
        <f>+SUM(K14:N14)</f>
        <v>6236</v>
      </c>
    </row>
    <row r="47" spans="2:14" s="4" customFormat="1" x14ac:dyDescent="0.2">
      <c r="B47" s="4" t="s">
        <v>58</v>
      </c>
      <c r="K47" s="4">
        <f t="shared" ref="G47:M47" si="2">+K46/(K27+K28+K29+K30+K32+K33)</f>
        <v>0.20765815760266371</v>
      </c>
      <c r="L47" s="4">
        <f t="shared" si="2"/>
        <v>0.22696661934403553</v>
      </c>
      <c r="M47" s="4">
        <f t="shared" si="2"/>
        <v>0.23339116605219404</v>
      </c>
      <c r="N47" s="4">
        <f>+N46/(N27+N28+N29+N30+N32+N33)</f>
        <v>0.22460740527301543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2024-07-08T17:27:14Z</dcterms:created>
  <dcterms:modified xsi:type="dcterms:W3CDTF">2024-07-08T20:50:49Z</dcterms:modified>
</cp:coreProperties>
</file>